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90" yWindow="225" windowWidth="18375" windowHeight="7230"/>
  </bookViews>
  <sheets>
    <sheet name="1905-2019" sheetId="1" r:id="rId1"/>
    <sheet name="1990-2019" sheetId="2" r:id="rId2"/>
    <sheet name="Tabelle3" sheetId="3" r:id="rId3"/>
  </sheets>
  <calcPr calcId="162913" iterate="1"/>
</workbook>
</file>

<file path=xl/calcChain.xml><?xml version="1.0" encoding="utf-8"?>
<calcChain xmlns="http://schemas.openxmlformats.org/spreadsheetml/2006/main">
  <c r="G63" i="2" l="1"/>
  <c r="K22" i="2"/>
  <c r="I22" i="2" s="1"/>
  <c r="I40" i="1"/>
  <c r="K40" i="1"/>
  <c r="E67" i="2" l="1"/>
  <c r="E68" i="2"/>
  <c r="E66" i="2"/>
  <c r="E65" i="2"/>
  <c r="E60" i="2"/>
  <c r="E62" i="2"/>
  <c r="E61" i="2"/>
  <c r="I27" i="2" l="1"/>
  <c r="H59" i="2"/>
  <c r="G67" i="2"/>
  <c r="G64" i="2"/>
  <c r="G68" i="2"/>
  <c r="G66" i="2"/>
  <c r="G65" i="2"/>
  <c r="G62" i="2"/>
  <c r="G61" i="2"/>
  <c r="G60" i="2"/>
  <c r="K96" i="1" l="1"/>
  <c r="I96" i="1" s="1"/>
  <c r="I32" i="1"/>
  <c r="K31" i="1"/>
  <c r="I31" i="1" s="1"/>
  <c r="K36" i="1"/>
  <c r="I36" i="1"/>
  <c r="K35" i="1"/>
  <c r="I35" i="1"/>
  <c r="I34" i="1"/>
  <c r="K52" i="1"/>
  <c r="I52" i="1" s="1"/>
  <c r="K51" i="1"/>
  <c r="I51" i="1" s="1"/>
  <c r="K55" i="1"/>
  <c r="I55" i="1" s="1"/>
  <c r="K69" i="1"/>
  <c r="I69" i="1" s="1"/>
  <c r="K78" i="1"/>
  <c r="I78" i="1" s="1"/>
  <c r="K77" i="1"/>
  <c r="I77" i="1" s="1"/>
  <c r="K81" i="1"/>
  <c r="I81" i="1" s="1"/>
  <c r="A103" i="1" l="1"/>
  <c r="C102" i="1" s="1"/>
  <c r="K52" i="2"/>
  <c r="I52" i="2" s="1"/>
  <c r="K50" i="2"/>
  <c r="I50" i="2" s="1"/>
  <c r="K49" i="2"/>
  <c r="I49" i="2" s="1"/>
  <c r="K43" i="2"/>
  <c r="I43" i="2" s="1"/>
  <c r="I36" i="2"/>
  <c r="I35" i="2"/>
  <c r="K35" i="2"/>
  <c r="I4" i="2"/>
  <c r="K5" i="2"/>
  <c r="I5" i="2" s="1"/>
  <c r="I40" i="2"/>
  <c r="K31" i="2"/>
  <c r="I31" i="2" s="1"/>
  <c r="K32" i="2"/>
  <c r="I32" i="2" s="1"/>
  <c r="K33" i="2"/>
  <c r="I33" i="2" s="1"/>
  <c r="I16" i="2"/>
  <c r="K18" i="2"/>
  <c r="I18" i="2" s="1"/>
  <c r="K17" i="2"/>
  <c r="I17" i="2" s="1"/>
  <c r="K13" i="2"/>
  <c r="I13" i="2" s="1"/>
  <c r="I14" i="2"/>
  <c r="K57" i="2"/>
  <c r="I57" i="2" s="1"/>
  <c r="K58" i="2" l="1"/>
  <c r="H58" i="2"/>
  <c r="K59" i="2" l="1"/>
  <c r="I58" i="2"/>
  <c r="E102" i="1"/>
  <c r="E101" i="1"/>
  <c r="E100" i="1"/>
  <c r="I62" i="1"/>
  <c r="I94" i="1"/>
  <c r="K94" i="1"/>
  <c r="C105" i="1"/>
  <c r="K80" i="1"/>
  <c r="I80" i="1" s="1"/>
  <c r="I22" i="1"/>
  <c r="K22" i="1"/>
  <c r="K21" i="1"/>
  <c r="K33" i="1"/>
  <c r="I33" i="1" s="1"/>
  <c r="E104" i="1" l="1"/>
  <c r="E105" i="1"/>
  <c r="C104" i="1"/>
  <c r="K38" i="1" l="1"/>
  <c r="I38" i="1" s="1"/>
  <c r="H99" i="1" l="1"/>
  <c r="B103" i="1"/>
  <c r="K67" i="1"/>
  <c r="K71" i="1"/>
  <c r="I71" i="1" s="1"/>
  <c r="K70" i="1"/>
  <c r="I70" i="1" s="1"/>
  <c r="K57" i="1"/>
  <c r="I57" i="1" s="1"/>
  <c r="K6" i="1" l="1"/>
  <c r="I6" i="1" s="1"/>
  <c r="K95" i="1" l="1"/>
  <c r="I95" i="1" s="1"/>
  <c r="K76" i="1" l="1"/>
  <c r="I76" i="1" s="1"/>
  <c r="K75" i="1"/>
  <c r="I75" i="1" s="1"/>
  <c r="K73" i="1"/>
  <c r="I73" i="1" s="1"/>
  <c r="K61" i="1"/>
  <c r="I61" i="1" s="1"/>
  <c r="K60" i="1"/>
  <c r="I60" i="1" s="1"/>
  <c r="K48" i="1"/>
  <c r="I48" i="1" s="1"/>
  <c r="K65" i="1"/>
  <c r="I65" i="1" s="1"/>
  <c r="K39" i="1"/>
  <c r="I39" i="1" s="1"/>
  <c r="K29" i="1"/>
  <c r="I29" i="1" s="1"/>
  <c r="K43" i="1"/>
  <c r="I43" i="1" s="1"/>
  <c r="K47" i="1"/>
  <c r="I47" i="1" s="1"/>
  <c r="K45" i="1"/>
  <c r="I45" i="1" s="1"/>
  <c r="I67" i="1"/>
  <c r="K53" i="1" l="1"/>
  <c r="I53" i="1" s="1"/>
  <c r="K49" i="1"/>
  <c r="I49" i="1" s="1"/>
  <c r="K44" i="1"/>
  <c r="I44" i="1" s="1"/>
  <c r="K41" i="1"/>
  <c r="I41" i="1" s="1"/>
  <c r="K37" i="1"/>
  <c r="I37" i="1" s="1"/>
  <c r="K28" i="1"/>
  <c r="I28" i="1" s="1"/>
  <c r="K26" i="1"/>
  <c r="I26" i="1" s="1"/>
  <c r="K25" i="1"/>
  <c r="I25" i="1" s="1"/>
  <c r="K24" i="1"/>
  <c r="I24" i="1" s="1"/>
  <c r="K23" i="1"/>
  <c r="I23" i="1" s="1"/>
  <c r="K88" i="1"/>
  <c r="I88" i="1" s="1"/>
  <c r="K86" i="1"/>
  <c r="I86" i="1" s="1"/>
  <c r="K64" i="1"/>
  <c r="I64" i="1" s="1"/>
  <c r="K90" i="1"/>
  <c r="I90" i="1" s="1"/>
  <c r="K42" i="1"/>
  <c r="I42" i="1" s="1"/>
  <c r="K19" i="1"/>
  <c r="I19" i="1" s="1"/>
  <c r="K87" i="1"/>
  <c r="I87" i="1" s="1"/>
  <c r="K72" i="1"/>
  <c r="I72" i="1" s="1"/>
  <c r="K92" i="1"/>
  <c r="I92" i="1" s="1"/>
  <c r="K30" i="1"/>
  <c r="I30" i="1" s="1"/>
  <c r="K54" i="1"/>
  <c r="I54" i="1" s="1"/>
  <c r="K27" i="1"/>
  <c r="I27" i="1" s="1"/>
  <c r="K98" i="1"/>
  <c r="I98" i="1" s="1"/>
  <c r="K20" i="1"/>
  <c r="I20" i="1" s="1"/>
  <c r="I21" i="1"/>
  <c r="K93" i="1"/>
  <c r="I93" i="1" s="1"/>
  <c r="K79" i="1"/>
  <c r="I79" i="1" s="1"/>
  <c r="K84" i="1"/>
  <c r="I84" i="1" s="1"/>
  <c r="K58" i="1"/>
  <c r="I58" i="1" s="1"/>
  <c r="K56" i="1"/>
  <c r="I56" i="1" s="1"/>
  <c r="K91" i="1"/>
  <c r="I91" i="1" s="1"/>
  <c r="K68" i="1"/>
  <c r="I68" i="1" s="1"/>
  <c r="K15" i="1"/>
  <c r="I15" i="1" s="1"/>
  <c r="K82" i="1"/>
  <c r="I82" i="1" s="1"/>
  <c r="K18" i="1"/>
  <c r="I18" i="1" s="1"/>
  <c r="K17" i="1"/>
  <c r="I17" i="1" s="1"/>
  <c r="K16" i="1"/>
  <c r="I16" i="1" s="1"/>
  <c r="K89" i="1"/>
  <c r="I89" i="1" s="1"/>
  <c r="K85" i="1"/>
  <c r="I85" i="1" s="1"/>
  <c r="K74" i="1"/>
  <c r="I74" i="1" s="1"/>
  <c r="K83" i="1"/>
  <c r="I83" i="1" s="1"/>
  <c r="K97" i="1"/>
  <c r="I97" i="1" s="1"/>
  <c r="K9" i="1"/>
  <c r="I9" i="1" s="1"/>
  <c r="K10" i="1"/>
  <c r="I10" i="1" s="1"/>
  <c r="K4" i="1"/>
  <c r="I4" i="1" s="1"/>
  <c r="K5" i="1"/>
  <c r="I5" i="1" s="1"/>
  <c r="K14" i="1"/>
  <c r="I14" i="1" s="1"/>
  <c r="K12" i="1"/>
  <c r="I12" i="1" s="1"/>
  <c r="K8" i="1"/>
  <c r="I8" i="1" s="1"/>
  <c r="K13" i="1"/>
  <c r="I13" i="1" s="1"/>
  <c r="K7" i="1"/>
  <c r="I7" i="1" s="1"/>
  <c r="I99" i="1" l="1"/>
</calcChain>
</file>

<file path=xl/sharedStrings.xml><?xml version="1.0" encoding="utf-8"?>
<sst xmlns="http://schemas.openxmlformats.org/spreadsheetml/2006/main" count="900" uniqueCount="467">
  <si>
    <t>Boas</t>
  </si>
  <si>
    <t>Pilot</t>
  </si>
  <si>
    <t>Landeort</t>
  </si>
  <si>
    <t>Fahrtzeit (h:min)</t>
  </si>
  <si>
    <t>10./11.02.1905</t>
  </si>
  <si>
    <t>Sticker</t>
  </si>
  <si>
    <t>01./02.09.1909</t>
  </si>
  <si>
    <t>Dr. R. Clavel, C. Otto</t>
  </si>
  <si>
    <t>12 Tage unter Arrest</t>
  </si>
  <si>
    <t>17./18.02.1912</t>
  </si>
  <si>
    <t>Ballon</t>
  </si>
  <si>
    <t>HEWALD</t>
  </si>
  <si>
    <t>Ing. Hans Gericke</t>
  </si>
  <si>
    <t>Ernst Hinkel</t>
  </si>
  <si>
    <t>BITTERFELD I</t>
  </si>
  <si>
    <t>07./08.04.1912</t>
  </si>
  <si>
    <t>Klaus von Allwörden</t>
  </si>
  <si>
    <t>Hptm. a.D. von Krogh</t>
  </si>
  <si>
    <t>Schulte-Vieting</t>
  </si>
  <si>
    <t>DELITZSCH</t>
  </si>
  <si>
    <t>Sturmfahrt bis Warschau</t>
  </si>
  <si>
    <t>30./31.12.1912</t>
  </si>
  <si>
    <t>Geschw. (km/h)</t>
  </si>
  <si>
    <t>Hugo Kaulen</t>
  </si>
  <si>
    <t>Schmitz, Krefft</t>
  </si>
  <si>
    <t>Weltrekord Dauer + Strecke</t>
  </si>
  <si>
    <t>13./17.12.1913</t>
  </si>
  <si>
    <t>DUISBURG</t>
  </si>
  <si>
    <t>Haase, Nicolai</t>
  </si>
  <si>
    <t>SIEMENS SCH.</t>
  </si>
  <si>
    <t>08./10.02.1914</t>
  </si>
  <si>
    <t>Datum Start/Ldg.</t>
  </si>
  <si>
    <t>Weltrekordfahrt Strecke</t>
  </si>
  <si>
    <t>Dr. Korn</t>
  </si>
  <si>
    <t>Russow, Nauck</t>
  </si>
  <si>
    <t>BERLIN</t>
  </si>
  <si>
    <t>09./10.02.1914</t>
  </si>
  <si>
    <t>Rohr (23)</t>
  </si>
  <si>
    <t>Thielecke (3), Rexhausen (1)</t>
  </si>
  <si>
    <t>Torphius / Aberdeen (Schottland)</t>
  </si>
  <si>
    <t>Ltn. v. Holthoff</t>
  </si>
  <si>
    <t>Ltn. v. Auer</t>
  </si>
  <si>
    <t>Poppenhausen /Baden</t>
  </si>
  <si>
    <t>Ltn. Stelling</t>
  </si>
  <si>
    <t>Ltn. Grüner</t>
  </si>
  <si>
    <t>Teplitz (Ungarn)</t>
  </si>
  <si>
    <t>Prof. Dr. Poeschel</t>
  </si>
  <si>
    <t>A. Cassirer, Dr. Reichel</t>
  </si>
  <si>
    <t>Reudzing b. Nowo Radomsk (Russland)</t>
  </si>
  <si>
    <t>04./05.08.1906</t>
  </si>
  <si>
    <t>Dr. Reichel, A. Cassirer</t>
  </si>
  <si>
    <t>Liebich, Schubert</t>
  </si>
  <si>
    <t>100 km über See</t>
  </si>
  <si>
    <t>Dr. Flemming</t>
  </si>
  <si>
    <t>09./10.05.1906</t>
  </si>
  <si>
    <t>Dr. Kurt Wegner</t>
  </si>
  <si>
    <t>Koch</t>
  </si>
  <si>
    <t>Leicester (England)</t>
  </si>
  <si>
    <t>350 km über die Nordsee</t>
  </si>
  <si>
    <t>ZIEGLER (1400 m³)</t>
  </si>
  <si>
    <t>10./11.04.1907</t>
  </si>
  <si>
    <t>Münzing</t>
  </si>
  <si>
    <t>08./09.11.1908</t>
  </si>
  <si>
    <t>2 Mitfahrer</t>
  </si>
  <si>
    <t>Victor de Beauclair</t>
  </si>
  <si>
    <t>COGNAC</t>
  </si>
  <si>
    <t>04./06.12. 1908</t>
  </si>
  <si>
    <t>Casale Maritima (Italien)</t>
  </si>
  <si>
    <t>Briouze (Normandie, Frankreich)</t>
  </si>
  <si>
    <t>Prof. Pöschel</t>
  </si>
  <si>
    <t>Insel Texel</t>
  </si>
  <si>
    <t>Ltn. Franceson, Oltn. Wilkens</t>
  </si>
  <si>
    <t>05./06.04.1909</t>
  </si>
  <si>
    <t>Sarajevo (Bosnien)</t>
  </si>
  <si>
    <t>08./09.04.1909</t>
  </si>
  <si>
    <t>Ltn. v. Parpart</t>
  </si>
  <si>
    <t>Schubert</t>
  </si>
  <si>
    <t>ALFA</t>
  </si>
  <si>
    <t>Frau Schubert, Frl. Glass, Haase, Zander</t>
  </si>
  <si>
    <t>Oedenburg (Ungarn)</t>
  </si>
  <si>
    <t>Hackstetter</t>
  </si>
  <si>
    <t>F. Linke, E. Reichenbach</t>
  </si>
  <si>
    <t>BITTERFELD</t>
  </si>
  <si>
    <t>Ltn. Knoerzer</t>
  </si>
  <si>
    <t>NORDHAUSEN</t>
  </si>
  <si>
    <t>Ltn. Falk, Ing. Block, Ltn. Spangenberg</t>
  </si>
  <si>
    <t>v. Wuthenau</t>
  </si>
  <si>
    <t>Dr. Zedel, v. Rechenberg, v. Thermann</t>
  </si>
  <si>
    <t>St. Pierre b. Brüssel (Belgien)</t>
  </si>
  <si>
    <t>Oltn. v. Quast</t>
  </si>
  <si>
    <t>Boldt, Ltn. Senftleben</t>
  </si>
  <si>
    <t>Meerhout (Belgien)</t>
  </si>
  <si>
    <t>D.A.K. III</t>
  </si>
  <si>
    <t>Ad. Stein</t>
  </si>
  <si>
    <t>Frau Stein, Dr. Walther</t>
  </si>
  <si>
    <t>11./12.08.1911</t>
  </si>
  <si>
    <t>LILIENTHAL</t>
  </si>
  <si>
    <t>Scheveningen (Holland)</t>
  </si>
  <si>
    <t>Thormeyer</t>
  </si>
  <si>
    <t>HILDEBRANDT</t>
  </si>
  <si>
    <t>Gostkowo b. Pultusk (Russland)</t>
  </si>
  <si>
    <t>beschossen, 3 Tage in Haft</t>
  </si>
  <si>
    <t>Plock i. Russ.-Polen</t>
  </si>
  <si>
    <t>CONTINENTAL II</t>
  </si>
  <si>
    <t>F.Schwab, Dr. A. Wigand</t>
  </si>
  <si>
    <t xml:space="preserve">wissensch. Fahrt auf 5560 m </t>
  </si>
  <si>
    <t>Varjas (Südungarn)</t>
  </si>
  <si>
    <t>Oltn. Manger, U. Wölbling, Blankenburg</t>
  </si>
  <si>
    <t>04./05.04.1912</t>
  </si>
  <si>
    <t>Carl Richard Mann</t>
  </si>
  <si>
    <t>Emil Brandt</t>
  </si>
  <si>
    <t>Arad im ungar. Banat</t>
  </si>
  <si>
    <t>BITTERFELD II</t>
  </si>
  <si>
    <t>Ing. Fritz Bauer</t>
  </si>
  <si>
    <t>A. Milich, G. Craatz, O, Kühnel</t>
  </si>
  <si>
    <t>Zielfahrt nach Danzig</t>
  </si>
  <si>
    <t xml:space="preserve">Korn </t>
  </si>
  <si>
    <t>Frl. Köhler, Impekoven</t>
  </si>
  <si>
    <t>29./30.12.1912</t>
  </si>
  <si>
    <t>Oltn. v. Freeden</t>
  </si>
  <si>
    <t>Muraszerdahely (SW-Ungarn)</t>
  </si>
  <si>
    <t>22./23.02.1913</t>
  </si>
  <si>
    <t>Dr. Giese</t>
  </si>
  <si>
    <t>K. Held</t>
  </si>
  <si>
    <t>Bralanda am Verner See (Schweden)</t>
  </si>
  <si>
    <t>22./23.03.1913</t>
  </si>
  <si>
    <t>Dr. Burmeister, Dr. Koppe</t>
  </si>
  <si>
    <t>12./13.07.1913</t>
  </si>
  <si>
    <t>Bergass. Liebenam</t>
  </si>
  <si>
    <t>Dr. Kröber, W. Schulze; Glaw</t>
  </si>
  <si>
    <t>bei Grenzüberfahrt heftig beschossen</t>
  </si>
  <si>
    <t>29./30.11.1913</t>
  </si>
  <si>
    <t>Rava (Gov. Petrikow, Russland)</t>
  </si>
  <si>
    <t>Mitternacht über Berlin</t>
  </si>
  <si>
    <t>Weichard, Schulze</t>
  </si>
  <si>
    <t>Schwartzkopff</t>
  </si>
  <si>
    <t>Robert Petschow</t>
  </si>
  <si>
    <t>Rode, Schilling</t>
  </si>
  <si>
    <t>07./08.02.1914</t>
  </si>
  <si>
    <t>11./12.02.1914</t>
  </si>
  <si>
    <t>LEIPZIG II</t>
  </si>
  <si>
    <t>Filipstad (Schweden)</t>
  </si>
  <si>
    <t>über Ostsee und Dänemark</t>
  </si>
  <si>
    <t>Hahn, Noßke</t>
  </si>
  <si>
    <t>SW Goldap (Ostpreussen)</t>
  </si>
  <si>
    <t>11./12.04.1914</t>
  </si>
  <si>
    <t>Petschow (301)</t>
  </si>
  <si>
    <t>Heenemann (15), Zinner (13)</t>
  </si>
  <si>
    <t>Reims, Flugplatz (Frankreich)</t>
  </si>
  <si>
    <t>Dr. Herberg (9), Richter (2)</t>
  </si>
  <si>
    <t>Groß (10)</t>
  </si>
  <si>
    <t>Dießen Krs. Tillburg (Holland)</t>
  </si>
  <si>
    <t>12./13.11.1932</t>
  </si>
  <si>
    <t>BITTERFELD IX (3)</t>
  </si>
  <si>
    <t xml:space="preserve">BITTERFELD IX </t>
  </si>
  <si>
    <t>Frl. B. Köhler, Dr.E. Horn, L. Impekoven</t>
  </si>
  <si>
    <t>Frh. v. Stumm, Ltn. V. Bärensprung</t>
  </si>
  <si>
    <t>über großen Belt und Kattegat</t>
  </si>
  <si>
    <t>Landung wegen Rokitnosümpfe</t>
  </si>
  <si>
    <t>mit 32 Sack Ballast auf Wunsch eines Passagiers abgebrochen</t>
  </si>
  <si>
    <t>Dr. Wilhelm Treitschke</t>
  </si>
  <si>
    <t>Nr.</t>
  </si>
  <si>
    <t>Entferng. (LL, km)</t>
  </si>
  <si>
    <t>BITTERFELD VI (85)</t>
  </si>
  <si>
    <t>Auschwitz (Polen)</t>
  </si>
  <si>
    <t>3.R.-S.-Wettfahrt</t>
  </si>
  <si>
    <t>Dr. Apitzsch</t>
  </si>
  <si>
    <t>29./30.04.1995</t>
  </si>
  <si>
    <t>Ketegyhaza (Ungarn)</t>
  </si>
  <si>
    <t>6.R.-S.-Wettfahrt</t>
  </si>
  <si>
    <t>D-OLIB</t>
  </si>
  <si>
    <t>V. Kuinke</t>
  </si>
  <si>
    <t>H. Brachtendorf</t>
  </si>
  <si>
    <t>W. Eimers</t>
  </si>
  <si>
    <t>K. Schmöhl</t>
  </si>
  <si>
    <t>Dr.B.Göhrmann, Y. Gadir</t>
  </si>
  <si>
    <t>02./03.05.1997</t>
  </si>
  <si>
    <t>Oroshaza (Ungarn)</t>
  </si>
  <si>
    <t>D-OCKM</t>
  </si>
  <si>
    <t>H. Kröger</t>
  </si>
  <si>
    <t>M.-L. Missel</t>
  </si>
  <si>
    <t>Wittmann</t>
  </si>
  <si>
    <t>Bekes (Ungarn)</t>
  </si>
  <si>
    <t>D-COLUMBUS</t>
  </si>
  <si>
    <t>R. Bombik</t>
  </si>
  <si>
    <t>U. Weisser</t>
  </si>
  <si>
    <t>Kistelek (Ungarn)</t>
  </si>
  <si>
    <t>Geisselbrecht</t>
  </si>
  <si>
    <t>D-OSTZ</t>
  </si>
  <si>
    <t>A. Munz</t>
  </si>
  <si>
    <t>HB-BZV</t>
  </si>
  <si>
    <t>M. Imstepf</t>
  </si>
  <si>
    <t>Carlo Spenger</t>
  </si>
  <si>
    <t>D-OMPB</t>
  </si>
  <si>
    <t>J. Menger</t>
  </si>
  <si>
    <t>W. Beermann</t>
  </si>
  <si>
    <t>D-OUEE</t>
  </si>
  <si>
    <t>J. Höhl</t>
  </si>
  <si>
    <t>W. Oberseider</t>
  </si>
  <si>
    <t>Heves (Ungarn)</t>
  </si>
  <si>
    <t>Hensce (Ungarn)</t>
  </si>
  <si>
    <t>Szigetvar (Ungarn)</t>
  </si>
  <si>
    <t>D-OCFT</t>
  </si>
  <si>
    <t>W. Najer</t>
  </si>
  <si>
    <t>R. Sutter</t>
  </si>
  <si>
    <t>D-ROLINCK</t>
  </si>
  <si>
    <t>H. Nieland</t>
  </si>
  <si>
    <t>A. Derks</t>
  </si>
  <si>
    <t>Hatvan (Ungarn)</t>
  </si>
  <si>
    <t>Tura (Ungarn)</t>
  </si>
  <si>
    <t>15./16.02.2002</t>
  </si>
  <si>
    <t>Dr.B.Göhrmann</t>
  </si>
  <si>
    <t>11.R.S.-Wettfahrt</t>
  </si>
  <si>
    <t>27./28.04.2002</t>
  </si>
  <si>
    <t>D-OOWE</t>
  </si>
  <si>
    <t>B. Landsmann</t>
  </si>
  <si>
    <t>Dr. B. Göhrmann</t>
  </si>
  <si>
    <t>D-OOLP</t>
  </si>
  <si>
    <t>29./30.04.2001</t>
  </si>
  <si>
    <t>D-OLIB (138)</t>
  </si>
  <si>
    <t>Dr.B. Göhrmann</t>
  </si>
  <si>
    <t>10.R.S.-Wettfahrt</t>
  </si>
  <si>
    <t>Watten / Calais (Frankreich)</t>
  </si>
  <si>
    <t>Ossona (Italien)</t>
  </si>
  <si>
    <t>Alpenüberquerung nach 95 Jahren</t>
  </si>
  <si>
    <t>03./04.05.2003</t>
  </si>
  <si>
    <t>12.R.S-Wettfahrt</t>
  </si>
  <si>
    <t>26./27.11.2004</t>
  </si>
  <si>
    <t>Potok Gorny (Polen)</t>
  </si>
  <si>
    <t>03./04.10.2014</t>
  </si>
  <si>
    <t>F. Zwanzig</t>
  </si>
  <si>
    <t>längste und weiteste Fahrt bis 1912</t>
  </si>
  <si>
    <t>D-OHOE</t>
  </si>
  <si>
    <t>W. Oberloher</t>
  </si>
  <si>
    <t>P. Oberloher</t>
  </si>
  <si>
    <t>D-OBCW</t>
  </si>
  <si>
    <t xml:space="preserve">H. Brachtendorf </t>
  </si>
  <si>
    <t xml:space="preserve"> K.-H. Huthmacher</t>
  </si>
  <si>
    <t>Strzyzow / Rzeszow (Polen)</t>
  </si>
  <si>
    <t>Lutcza / Krosno (Polen)</t>
  </si>
  <si>
    <t>D-OFVA</t>
  </si>
  <si>
    <t>Michel</t>
  </si>
  <si>
    <t xml:space="preserve">Th. Fink </t>
  </si>
  <si>
    <t>D-OWBA</t>
  </si>
  <si>
    <t>Dobranowce / Krakow (Polen)</t>
  </si>
  <si>
    <t xml:space="preserve">P. Krafczyk </t>
  </si>
  <si>
    <t>Sellmaier</t>
  </si>
  <si>
    <t xml:space="preserve">H. Kröger </t>
  </si>
  <si>
    <t>Miechow / Krakow (Polen)</t>
  </si>
  <si>
    <t>J. Scherzer</t>
  </si>
  <si>
    <t>18./19.04.2003</t>
  </si>
  <si>
    <t xml:space="preserve">W. Eimers </t>
  </si>
  <si>
    <t>Stukownik</t>
  </si>
  <si>
    <t>Bemerkungen</t>
  </si>
  <si>
    <t xml:space="preserve">Wahlendorf b. Danzig </t>
  </si>
  <si>
    <t>Ltn.v.Rohrscheidt, Ltn.v.Berlepsch, Ltn.v.Minnigerode</t>
  </si>
  <si>
    <t>M. Weigelt</t>
  </si>
  <si>
    <t>15. Linde Cup</t>
  </si>
  <si>
    <t>D. Haggeney</t>
  </si>
  <si>
    <t>H. Hilbert</t>
  </si>
  <si>
    <t>Duenas / Valladolid (Spanien)</t>
  </si>
  <si>
    <t>D-OWBNT</t>
  </si>
  <si>
    <t>K. Weisgerber</t>
  </si>
  <si>
    <t>A. Gerhardt</t>
  </si>
  <si>
    <t>Nielstrup / Frederikshavn (Dänemark)</t>
  </si>
  <si>
    <t>K.-H. Hutmacher</t>
  </si>
  <si>
    <t>Tisted / Hadsund (Dänemark)</t>
  </si>
  <si>
    <t>D-OWEE</t>
  </si>
  <si>
    <r>
      <t>Vegger /</t>
    </r>
    <r>
      <rPr>
        <sz val="10"/>
        <color theme="1"/>
        <rFont val="Calibri"/>
        <family val="2"/>
      </rPr>
      <t>Å</t>
    </r>
    <r>
      <rPr>
        <sz val="10"/>
        <color theme="1"/>
        <rFont val="Arial"/>
        <family val="2"/>
      </rPr>
      <t>rs (Dänemark)</t>
    </r>
  </si>
  <si>
    <r>
      <t>Sottrup /</t>
    </r>
    <r>
      <rPr>
        <sz val="10"/>
        <color theme="1"/>
        <rFont val="Calibri"/>
        <family val="2"/>
      </rPr>
      <t>Å</t>
    </r>
    <r>
      <rPr>
        <sz val="10"/>
        <color theme="1"/>
        <rFont val="Arial"/>
        <family val="2"/>
      </rPr>
      <t>rs (Dänemark)</t>
    </r>
  </si>
  <si>
    <t>28./29.12.2014</t>
  </si>
  <si>
    <t>v.Bissing, v.Quast, C.Siemens</t>
  </si>
  <si>
    <t>Grynderup / Hobro (Dänemark)</t>
  </si>
  <si>
    <t>Krakow (Polen)</t>
  </si>
  <si>
    <t>km/h</t>
  </si>
  <si>
    <t>Basis = 3500 Fahrten</t>
  </si>
  <si>
    <t xml:space="preserve"> Bitterfelder-Kette</t>
  </si>
  <si>
    <t>&gt;700 km über die Nordsee</t>
  </si>
  <si>
    <t>CoPilot/Mitfahrer</t>
  </si>
  <si>
    <t>50 km westl. Perm (Russland)</t>
  </si>
  <si>
    <t>Kigischan Krs. Krasnoufimsk (Russland)</t>
  </si>
  <si>
    <t>Hans Rudolf Berliner</t>
  </si>
  <si>
    <t>D-OHAH</t>
  </si>
  <si>
    <t>D. Stremke</t>
  </si>
  <si>
    <t>31.10./1.11.2015</t>
  </si>
  <si>
    <t>Ostsee u. Kurische Nehrung</t>
  </si>
  <si>
    <t>Korczowa / Radymno (Polen)</t>
  </si>
  <si>
    <t>Moszona Krolewska (Polen)</t>
  </si>
  <si>
    <t>Karwowo/Lomza (Polen)</t>
  </si>
  <si>
    <t>Krynka (Polen)</t>
  </si>
  <si>
    <t>29.04./30.04.2017</t>
  </si>
  <si>
    <t>26.R.-S.-Wettfahrt</t>
  </si>
  <si>
    <t>Moszyny Bogoria (Polen)</t>
  </si>
  <si>
    <t>01./02.05.2015</t>
  </si>
  <si>
    <t>24.R.S.-Wettfahrt</t>
  </si>
  <si>
    <t>Goldmedallien</t>
  </si>
  <si>
    <t>Silbermedaillien</t>
  </si>
  <si>
    <t>Bronzemedaillien</t>
  </si>
  <si>
    <t>(&gt;2000 km)</t>
  </si>
  <si>
    <t>(&gt;1000 km)</t>
  </si>
  <si>
    <t>(&gt;500 km)</t>
  </si>
  <si>
    <r>
      <t xml:space="preserve">Fahrten ab Bitterfeld </t>
    </r>
    <r>
      <rPr>
        <b/>
        <sz val="11"/>
        <color theme="1"/>
        <rFont val="Calibri"/>
        <family val="2"/>
        <scheme val="minor"/>
      </rPr>
      <t>seit 1905</t>
    </r>
    <r>
      <rPr>
        <sz val="11"/>
        <color theme="1"/>
        <rFont val="Calibri"/>
        <family val="2"/>
        <scheme val="minor"/>
      </rPr>
      <t xml:space="preserve"> mit mehr als 500 km Entfernung (Luftlinie)</t>
    </r>
  </si>
  <si>
    <t>Gromnik /Tarnow (Polen)</t>
  </si>
  <si>
    <t>Stein</t>
  </si>
  <si>
    <t xml:space="preserve">D-ZAMEK </t>
  </si>
  <si>
    <t>Fahrten vor 1990</t>
  </si>
  <si>
    <t>Fahrten nach 1990</t>
  </si>
  <si>
    <t>Jahre</t>
  </si>
  <si>
    <t>%</t>
  </si>
  <si>
    <t>Komza</t>
  </si>
  <si>
    <t>03./04.09.2016</t>
  </si>
  <si>
    <t>17./18.06.2016</t>
  </si>
  <si>
    <t>28./29.04.2018</t>
  </si>
  <si>
    <t>über Kaliningrader Ostsee</t>
  </si>
  <si>
    <t>Sabile / Pedvale (Lettland)</t>
  </si>
  <si>
    <t>30.04./01.05.2019</t>
  </si>
  <si>
    <t>J. Berger</t>
  </si>
  <si>
    <t>H. Lorenz</t>
  </si>
  <si>
    <t>D-OWBF</t>
  </si>
  <si>
    <t>28.R.S.-Wettfahrt</t>
  </si>
  <si>
    <t>Holderbank (Schweiz)</t>
  </si>
  <si>
    <t>29:30</t>
  </si>
  <si>
    <t>Reiselfingen</t>
  </si>
  <si>
    <t>31.12.2019/1.1.2020</t>
  </si>
  <si>
    <t>Goricia (Italien)</t>
  </si>
  <si>
    <t xml:space="preserve">Alpenüberquerung </t>
  </si>
  <si>
    <t>Nielstrup/Frederikshavn (Dänemark)</t>
  </si>
  <si>
    <t>(Polen)</t>
  </si>
  <si>
    <t>10.R.S.-Wettfahrt (über Kattegat)</t>
  </si>
  <si>
    <t>über Kieler Bucht und Ostsee</t>
  </si>
  <si>
    <t>31.12.19/1.1.2020</t>
  </si>
  <si>
    <t>Ø</t>
  </si>
  <si>
    <t>Piatek / Lodz (Polen)</t>
  </si>
  <si>
    <t>Sabile/Pedvale (Lettland)</t>
  </si>
  <si>
    <t>Weltmeisterschaft 2004</t>
  </si>
  <si>
    <t>Ronny van Havere(B)</t>
  </si>
  <si>
    <t>D-OWNT</t>
  </si>
  <si>
    <t>OO-BCX</t>
  </si>
  <si>
    <t>G. Stürzlinger (AU)</t>
  </si>
  <si>
    <t>Janet Folkes (GB)</t>
  </si>
  <si>
    <t>Dave Morgan (GB)</t>
  </si>
  <si>
    <t>H. Meierhofer (AU)</t>
  </si>
  <si>
    <t>Luc van Geyte (B)</t>
  </si>
  <si>
    <t>Bob Berben (B)</t>
  </si>
  <si>
    <t>D-OBYN</t>
  </si>
  <si>
    <t>D-ORZL</t>
  </si>
  <si>
    <t>HB-BJS</t>
  </si>
  <si>
    <t>Suwalki   (Polen)</t>
  </si>
  <si>
    <t>Suwalki (Polen)</t>
  </si>
  <si>
    <t>Olecho (Polen)</t>
  </si>
  <si>
    <t>Augustow (Polen)</t>
  </si>
  <si>
    <t>D-OCOL</t>
  </si>
  <si>
    <t xml:space="preserve">J. Höhl </t>
  </si>
  <si>
    <t>Kuty (Polen)</t>
  </si>
  <si>
    <t>Weltmeisterschaft 2004 (Unfall)</t>
  </si>
  <si>
    <t>G. Oberseider</t>
  </si>
  <si>
    <t>M. Pieper</t>
  </si>
  <si>
    <t>M. Sullivan (USA)</t>
  </si>
  <si>
    <t>D. Levin (USA)</t>
  </si>
  <si>
    <t>D-OWML</t>
  </si>
  <si>
    <t>Wegorzewo  (Polen)</t>
  </si>
  <si>
    <t>18:00</t>
  </si>
  <si>
    <t>16:45</t>
  </si>
  <si>
    <t>17:05</t>
  </si>
  <si>
    <t>17:30</t>
  </si>
  <si>
    <t>17:27</t>
  </si>
  <si>
    <t>16:55</t>
  </si>
  <si>
    <t>26:14</t>
  </si>
  <si>
    <t>D-OWBL</t>
  </si>
  <si>
    <t>Ketrzyn   (Polen)</t>
  </si>
  <si>
    <t>Boiepole Wieltre / Danzig   (Polen)</t>
  </si>
  <si>
    <t>Xayier Waymel (F)</t>
  </si>
  <si>
    <t>Jean-Michel  Francois (F)</t>
  </si>
  <si>
    <t>F-GEAC</t>
  </si>
  <si>
    <t>Elblag   (Polen)</t>
  </si>
  <si>
    <t>C. Spenger (CH)</t>
  </si>
  <si>
    <t>M. Imstepf (CH)</t>
  </si>
  <si>
    <t>W. Najer (CH)</t>
  </si>
  <si>
    <t>R. Sutter (CH)</t>
  </si>
  <si>
    <t>Tom Donnelly (GB)</t>
  </si>
  <si>
    <t>Enzo Cisaro (I)</t>
  </si>
  <si>
    <t>Giovanni Aimo (I)</t>
  </si>
  <si>
    <t>David Sutcliffe (GB)</t>
  </si>
  <si>
    <t>I-OECM</t>
  </si>
  <si>
    <t>G-BWOK</t>
  </si>
  <si>
    <t>Ostroda    (Polen)</t>
  </si>
  <si>
    <t>Morag    (Polen)</t>
  </si>
  <si>
    <t>F-BSGN</t>
  </si>
  <si>
    <t>13:22</t>
  </si>
  <si>
    <t>Thierry Villey (F)</t>
  </si>
  <si>
    <t>Eric Hallosserie (F)</t>
  </si>
  <si>
    <t>25. R.-S.-Wettfahrt</t>
  </si>
  <si>
    <t>Reiselfingen (Deutschland)</t>
  </si>
  <si>
    <t>B. Göhrmann</t>
  </si>
  <si>
    <t>B. Göhrmann, Y. Gadir</t>
  </si>
  <si>
    <t>B.Göhrmann</t>
  </si>
  <si>
    <t>Veiby /Helsinge auf Seeland (Dänemark)</t>
  </si>
  <si>
    <t>Winden am Neusiedler See (Ungarn)</t>
  </si>
  <si>
    <t>Dörbeck bei Elbing (Ostpreussen)</t>
  </si>
  <si>
    <t>Frau Thormeyer, Frl. Remmers, Schmitz, Siegel</t>
  </si>
  <si>
    <t>2.Alpenüberquerung nach 95 Jahren</t>
  </si>
  <si>
    <t xml:space="preserve">3. Alpenüberquerung </t>
  </si>
  <si>
    <t>1. Überquerung Alpen, Adria u. Apeninnen</t>
  </si>
  <si>
    <t>Ronny van Havere (B)</t>
  </si>
  <si>
    <t>Philippe de Cock (B)</t>
  </si>
  <si>
    <t>Sottrup /Års (Dänemark)</t>
  </si>
  <si>
    <t>Vegger /Års (Dänemark)</t>
  </si>
  <si>
    <t>24:03</t>
  </si>
  <si>
    <t>Stand: 28.01.2020</t>
  </si>
  <si>
    <t>Polen</t>
  </si>
  <si>
    <t>Ungarn</t>
  </si>
  <si>
    <t>Italien</t>
  </si>
  <si>
    <t>Dänemark</t>
  </si>
  <si>
    <t>Frankreich</t>
  </si>
  <si>
    <t>Spanien</t>
  </si>
  <si>
    <t>Schweiz</t>
  </si>
  <si>
    <t>Deutschland</t>
  </si>
  <si>
    <t>Lettland</t>
  </si>
  <si>
    <t>Summe</t>
  </si>
  <si>
    <t>Fahrten "Bitterfelder Kette" nach 1990</t>
  </si>
  <si>
    <t>Komza (P)</t>
  </si>
  <si>
    <t>K.-H. Huthmacher</t>
  </si>
  <si>
    <t>Bearbeitungsstand: 28.1.2020</t>
  </si>
  <si>
    <t>Göhrmann</t>
  </si>
  <si>
    <t>Zwanzig</t>
  </si>
  <si>
    <t>Schmöhl</t>
  </si>
  <si>
    <t>Mehrfachteilnehmer des BiVfL</t>
  </si>
  <si>
    <t>Eimers</t>
  </si>
  <si>
    <t>Mehrfachteilnehmer anderer Vereine</t>
  </si>
  <si>
    <t>Brachtendorf</t>
  </si>
  <si>
    <t>Gerhardt</t>
  </si>
  <si>
    <t>Haggeney</t>
  </si>
  <si>
    <t>Dr. D. Apitzsch</t>
  </si>
  <si>
    <t>Tschernotizi* (Gouverment Tschernigow, Russland)</t>
  </si>
  <si>
    <t>*= Chernechchyna (bei Sumy, Ukraine)</t>
  </si>
  <si>
    <t>Potok** bei Mironowka / Kiew (Russland)</t>
  </si>
  <si>
    <t>**= Potik (bei Myroniwka, Ukraine)</t>
  </si>
  <si>
    <t>Bytschicha*** (Russland)</t>
  </si>
  <si>
    <t>***= Byschiw (bei Kiew, Ukraine)</t>
  </si>
  <si>
    <t>Rezekne (Lettland)</t>
  </si>
  <si>
    <t>****= Krustpils (bei Jekabpils a.d. Düna, Lettland)</t>
  </si>
  <si>
    <t>Moroczno***** bei Minsk (Weißrussland)</t>
  </si>
  <si>
    <t>*****= Moros´ki (bei Maledsetschna, Minsk, Weißrussland)</t>
  </si>
  <si>
    <t>#= Pui (bei Petrosani , Rumänien)</t>
  </si>
  <si>
    <t>Puj # (Ungarn, 20 km vor rum.Grenze)</t>
  </si>
  <si>
    <t xml:space="preserve">möglicherweise Vozhakovo </t>
  </si>
  <si>
    <t>wahrscheinlich: Karpinsk, Kreis Krasnoturjinsk</t>
  </si>
  <si>
    <t>Oswiecim (Polen) Entfernung LL: 520 km!!</t>
  </si>
  <si>
    <t>Brudzewo bei Puck (Polen)</t>
  </si>
  <si>
    <r>
      <t>P</t>
    </r>
    <r>
      <rPr>
        <sz val="11"/>
        <color theme="1"/>
        <rFont val="Calibri"/>
        <family val="2"/>
      </rPr>
      <t>ł</t>
    </r>
    <r>
      <rPr>
        <sz val="11"/>
        <color theme="1"/>
        <rFont val="Calibri"/>
        <family val="2"/>
        <scheme val="minor"/>
      </rPr>
      <t>ock a.d. Weichsel (Polen)</t>
    </r>
  </si>
  <si>
    <t>Ödenburg am Neusiedler See (Ungarn)</t>
  </si>
  <si>
    <t>Österreich</t>
  </si>
  <si>
    <t>bei Saarbrücken, in Frankreich</t>
  </si>
  <si>
    <t>Rittergut Korokow/Putzig (Ostpreussen)</t>
  </si>
  <si>
    <t>Spicherer Höhen/ St.Johann (Frankreich)</t>
  </si>
  <si>
    <t>Trencianska Tepla (Slowakei)</t>
  </si>
  <si>
    <t>Radomsko (Polen) eher bei Kielce!</t>
  </si>
  <si>
    <t>bei Krosno/ Rzeszow (Polen)</t>
  </si>
  <si>
    <t>Jasslo (ukrain. Galizien)</t>
  </si>
  <si>
    <t>Oswiecim (ukrain. Galizien))</t>
  </si>
  <si>
    <t>Kreuzburg**** (Russland)</t>
  </si>
  <si>
    <t>Koden am Bug (Polen)</t>
  </si>
  <si>
    <t>Koden/Brest-Litovsk (Weissrussland)</t>
  </si>
  <si>
    <t>T. Hora</t>
  </si>
  <si>
    <t>Alpenüberquerung</t>
  </si>
  <si>
    <t>Cremona (Italien)</t>
  </si>
  <si>
    <t>942:18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</si>
</sst>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color rgb="FFE26B0A"/>
      <name val="Arial"/>
      <family val="2"/>
    </font>
    <font>
      <b/>
      <sz val="10"/>
      <color theme="0" tint="-0.34998626667073579"/>
      <name val="Arial"/>
      <family val="2"/>
    </font>
    <font>
      <sz val="10"/>
      <name val="Arial"/>
      <family val="2"/>
    </font>
    <font>
      <b/>
      <sz val="10"/>
      <color rgb="FFA6A6A6"/>
      <name val="Arial"/>
      <family val="2"/>
    </font>
    <font>
      <b/>
      <sz val="10"/>
      <color rgb="FFCC9900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ont="1"/>
    <xf numFmtId="2" fontId="2" fillId="0" borderId="0" xfId="0" applyNumberFormat="1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4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20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NumberFormat="1" applyFont="1" applyBorder="1"/>
    <xf numFmtId="0" fontId="8" fillId="0" borderId="1" xfId="0" applyFont="1" applyBorder="1"/>
    <xf numFmtId="49" fontId="2" fillId="0" borderId="1" xfId="0" applyNumberFormat="1" applyFont="1" applyBorder="1"/>
    <xf numFmtId="49" fontId="8" fillId="0" borderId="1" xfId="0" applyNumberFormat="1" applyFont="1" applyBorder="1"/>
    <xf numFmtId="14" fontId="8" fillId="3" borderId="1" xfId="0" applyNumberFormat="1" applyFont="1" applyFill="1" applyBorder="1" applyAlignment="1">
      <alignment horizontal="left"/>
    </xf>
    <xf numFmtId="0" fontId="8" fillId="3" borderId="1" xfId="0" applyFont="1" applyFill="1" applyBorder="1"/>
    <xf numFmtId="20" fontId="2" fillId="0" borderId="1" xfId="0" applyNumberFormat="1" applyFont="1" applyBorder="1" applyAlignment="1">
      <alignment horizontal="center"/>
    </xf>
    <xf numFmtId="0" fontId="12" fillId="0" borderId="0" xfId="0" applyFont="1"/>
    <xf numFmtId="20" fontId="0" fillId="0" borderId="2" xfId="0" applyNumberFormat="1" applyBorder="1" applyAlignment="1">
      <alignment horizontal="center"/>
    </xf>
    <xf numFmtId="0" fontId="2" fillId="0" borderId="3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46" fontId="2" fillId="1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20" fontId="8" fillId="0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Fill="1" applyBorder="1" applyAlignment="1">
      <alignment horizontal="justify" vertical="center"/>
    </xf>
    <xf numFmtId="20" fontId="2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9" borderId="1" xfId="0" applyFont="1" applyFill="1" applyBorder="1"/>
    <xf numFmtId="0" fontId="13" fillId="3" borderId="1" xfId="0" applyFont="1" applyFill="1" applyBorder="1"/>
    <xf numFmtId="46" fontId="8" fillId="2" borderId="1" xfId="0" applyNumberFormat="1" applyFont="1" applyFill="1" applyBorder="1" applyAlignment="1">
      <alignment horizontal="center"/>
    </xf>
    <xf numFmtId="0" fontId="13" fillId="9" borderId="0" xfId="0" applyFont="1" applyFill="1"/>
    <xf numFmtId="164" fontId="2" fillId="6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/>
    <xf numFmtId="164" fontId="2" fillId="8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46" fontId="2" fillId="2" borderId="1" xfId="0" applyNumberFormat="1" applyFont="1" applyFill="1" applyBorder="1" applyAlignment="1">
      <alignment horizontal="center"/>
    </xf>
    <xf numFmtId="46" fontId="8" fillId="2" borderId="2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9" borderId="0" xfId="0" applyFont="1" applyFill="1"/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0" fontId="15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0" fontId="16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26B0A"/>
      <color rgb="FFFFCC66"/>
      <color rgb="FFCC99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topLeftCell="A73" workbookViewId="0">
      <selection activeCell="C102" sqref="C102"/>
    </sheetView>
  </sheetViews>
  <sheetFormatPr baseColWidth="10" defaultRowHeight="15" x14ac:dyDescent="0.25"/>
  <cols>
    <col min="1" max="1" width="4.42578125" style="6" customWidth="1"/>
    <col min="2" max="2" width="17.5703125" customWidth="1"/>
    <col min="3" max="3" width="18.7109375" customWidth="1"/>
    <col min="4" max="4" width="19.7109375" customWidth="1"/>
    <col min="5" max="5" width="33.42578125" bestFit="1" customWidth="1"/>
    <col min="6" max="6" width="35.140625" bestFit="1" customWidth="1"/>
    <col min="7" max="7" width="14.28515625" bestFit="1" customWidth="1"/>
    <col min="8" max="8" width="16.7109375" bestFit="1" customWidth="1"/>
    <col min="9" max="9" width="13.7109375" style="2" bestFit="1" customWidth="1"/>
    <col min="10" max="10" width="31" customWidth="1"/>
    <col min="11" max="11" width="0.140625" customWidth="1"/>
    <col min="12" max="12" width="47.85546875" bestFit="1" customWidth="1"/>
  </cols>
  <sheetData>
    <row r="1" spans="1:15" ht="18" x14ac:dyDescent="0.25">
      <c r="B1" t="s">
        <v>301</v>
      </c>
      <c r="F1" s="29" t="s">
        <v>276</v>
      </c>
      <c r="J1" t="s">
        <v>408</v>
      </c>
    </row>
    <row r="3" spans="1:15" s="6" customFormat="1" x14ac:dyDescent="0.25">
      <c r="A3" s="8" t="s">
        <v>161</v>
      </c>
      <c r="B3" s="8" t="s">
        <v>31</v>
      </c>
      <c r="C3" s="8" t="s">
        <v>10</v>
      </c>
      <c r="D3" s="8" t="s">
        <v>1</v>
      </c>
      <c r="E3" s="8" t="s">
        <v>278</v>
      </c>
      <c r="F3" s="8" t="s">
        <v>2</v>
      </c>
      <c r="G3" s="8" t="s">
        <v>3</v>
      </c>
      <c r="H3" s="8" t="s">
        <v>162</v>
      </c>
      <c r="I3" s="9" t="s">
        <v>22</v>
      </c>
      <c r="J3" s="9" t="s">
        <v>253</v>
      </c>
    </row>
    <row r="4" spans="1:15" s="4" customFormat="1" x14ac:dyDescent="0.25">
      <c r="A4" s="69">
        <v>1</v>
      </c>
      <c r="B4" s="10" t="s">
        <v>30</v>
      </c>
      <c r="C4" s="10" t="s">
        <v>29</v>
      </c>
      <c r="D4" s="10" t="s">
        <v>281</v>
      </c>
      <c r="E4" s="10" t="s">
        <v>28</v>
      </c>
      <c r="F4" s="10" t="s">
        <v>280</v>
      </c>
      <c r="G4" s="37">
        <v>1.9722222222222223</v>
      </c>
      <c r="H4" s="12">
        <v>3053</v>
      </c>
      <c r="I4" s="73">
        <f t="shared" ref="I4" si="0">H4/K4</f>
        <v>64.5</v>
      </c>
      <c r="J4" s="10" t="s">
        <v>32</v>
      </c>
      <c r="K4" s="5">
        <f>47+20/60</f>
        <v>47.333333333333336</v>
      </c>
      <c r="L4" s="4" t="s">
        <v>446</v>
      </c>
    </row>
    <row r="5" spans="1:15" x14ac:dyDescent="0.25">
      <c r="A5" s="69">
        <v>2</v>
      </c>
      <c r="B5" s="10" t="s">
        <v>26</v>
      </c>
      <c r="C5" s="10" t="s">
        <v>27</v>
      </c>
      <c r="D5" s="10" t="s">
        <v>23</v>
      </c>
      <c r="E5" s="10" t="s">
        <v>24</v>
      </c>
      <c r="F5" s="10" t="s">
        <v>279</v>
      </c>
      <c r="G5" s="37">
        <v>3.625</v>
      </c>
      <c r="H5" s="12">
        <v>2800</v>
      </c>
      <c r="I5" s="50">
        <f t="shared" ref="I5:I58" si="1">H5/K5</f>
        <v>32.183908045977013</v>
      </c>
      <c r="J5" s="10" t="s">
        <v>25</v>
      </c>
      <c r="K5">
        <f>87+0/60</f>
        <v>87</v>
      </c>
      <c r="L5" t="s">
        <v>445</v>
      </c>
      <c r="O5" s="1"/>
    </row>
    <row r="6" spans="1:15" x14ac:dyDescent="0.25">
      <c r="A6" s="70">
        <v>3</v>
      </c>
      <c r="B6" s="49" t="s">
        <v>270</v>
      </c>
      <c r="C6" s="49" t="s">
        <v>282</v>
      </c>
      <c r="D6" s="13" t="s">
        <v>258</v>
      </c>
      <c r="E6" s="10" t="s">
        <v>259</v>
      </c>
      <c r="F6" s="10" t="s">
        <v>260</v>
      </c>
      <c r="G6" s="28">
        <v>0.97222222222222221</v>
      </c>
      <c r="H6" s="15">
        <v>1692</v>
      </c>
      <c r="I6" s="74">
        <f t="shared" si="1"/>
        <v>72.51428571428572</v>
      </c>
      <c r="J6" s="49"/>
      <c r="K6">
        <f>23+20/60</f>
        <v>23.333333333333332</v>
      </c>
    </row>
    <row r="7" spans="1:15" ht="25.5" x14ac:dyDescent="0.25">
      <c r="A7" s="69">
        <v>4</v>
      </c>
      <c r="B7" s="10" t="s">
        <v>21</v>
      </c>
      <c r="C7" s="49" t="s">
        <v>19</v>
      </c>
      <c r="D7" s="10" t="s">
        <v>18</v>
      </c>
      <c r="E7" s="10" t="s">
        <v>23</v>
      </c>
      <c r="F7" s="10" t="s">
        <v>433</v>
      </c>
      <c r="G7" s="11">
        <v>1.0277777777777779</v>
      </c>
      <c r="H7" s="15">
        <v>1600</v>
      </c>
      <c r="I7" s="73">
        <f t="shared" si="1"/>
        <v>64.864864864864856</v>
      </c>
      <c r="J7" s="10" t="s">
        <v>20</v>
      </c>
      <c r="K7" s="3">
        <f>24+40/60</f>
        <v>24.666666666666668</v>
      </c>
      <c r="L7" t="s">
        <v>434</v>
      </c>
    </row>
    <row r="8" spans="1:15" ht="25.5" x14ac:dyDescent="0.25">
      <c r="A8" s="69">
        <v>5</v>
      </c>
      <c r="B8" s="10" t="s">
        <v>9</v>
      </c>
      <c r="C8" s="10" t="s">
        <v>11</v>
      </c>
      <c r="D8" s="10" t="s">
        <v>16</v>
      </c>
      <c r="E8" s="10" t="s">
        <v>7</v>
      </c>
      <c r="F8" s="10" t="s">
        <v>435</v>
      </c>
      <c r="G8" s="37">
        <v>1.2958333333333334</v>
      </c>
      <c r="H8" s="16">
        <v>1350</v>
      </c>
      <c r="I8" s="50">
        <f t="shared" si="1"/>
        <v>43.40836012861736</v>
      </c>
      <c r="J8" s="10" t="s">
        <v>8</v>
      </c>
      <c r="K8" s="3">
        <f>31+6/60</f>
        <v>31.1</v>
      </c>
      <c r="L8" t="s">
        <v>436</v>
      </c>
    </row>
    <row r="9" spans="1:15" x14ac:dyDescent="0.25">
      <c r="A9" s="69">
        <v>6</v>
      </c>
      <c r="B9" s="17">
        <v>10634</v>
      </c>
      <c r="C9" s="10" t="s">
        <v>163</v>
      </c>
      <c r="D9" s="10" t="s">
        <v>37</v>
      </c>
      <c r="E9" s="18" t="s">
        <v>38</v>
      </c>
      <c r="F9" s="10" t="s">
        <v>39</v>
      </c>
      <c r="G9" s="19">
        <v>0.75</v>
      </c>
      <c r="H9" s="16">
        <v>1350</v>
      </c>
      <c r="I9" s="74">
        <f t="shared" si="1"/>
        <v>75</v>
      </c>
      <c r="J9" s="10" t="s">
        <v>277</v>
      </c>
      <c r="K9">
        <f>18+0/60</f>
        <v>18</v>
      </c>
    </row>
    <row r="10" spans="1:15" x14ac:dyDescent="0.25">
      <c r="A10" s="69">
        <v>7</v>
      </c>
      <c r="B10" s="10" t="s">
        <v>36</v>
      </c>
      <c r="C10" s="10" t="s">
        <v>35</v>
      </c>
      <c r="D10" s="10" t="s">
        <v>33</v>
      </c>
      <c r="E10" s="10" t="s">
        <v>34</v>
      </c>
      <c r="F10" s="10" t="s">
        <v>437</v>
      </c>
      <c r="G10" s="37">
        <v>1.5854166666666665</v>
      </c>
      <c r="H10" s="16">
        <v>1254</v>
      </c>
      <c r="I10" s="50">
        <f t="shared" si="1"/>
        <v>32.956636005256243</v>
      </c>
      <c r="J10" s="49"/>
      <c r="K10">
        <f>38+3/60</f>
        <v>38.049999999999997</v>
      </c>
      <c r="L10" t="s">
        <v>438</v>
      </c>
    </row>
    <row r="11" spans="1:15" x14ac:dyDescent="0.25">
      <c r="A11" s="70">
        <v>8</v>
      </c>
      <c r="B11" s="10" t="s">
        <v>284</v>
      </c>
      <c r="C11" s="10" t="s">
        <v>170</v>
      </c>
      <c r="D11" s="10" t="s">
        <v>230</v>
      </c>
      <c r="E11" s="10" t="s">
        <v>283</v>
      </c>
      <c r="F11" s="10" t="s">
        <v>439</v>
      </c>
      <c r="G11" s="11">
        <v>1.0930555555555557</v>
      </c>
      <c r="H11" s="16">
        <v>1119</v>
      </c>
      <c r="I11" s="50">
        <v>49</v>
      </c>
      <c r="J11" s="49" t="s">
        <v>285</v>
      </c>
    </row>
    <row r="12" spans="1:15" ht="17.45" customHeight="1" x14ac:dyDescent="0.25">
      <c r="A12" s="69">
        <v>9</v>
      </c>
      <c r="B12" s="10" t="s">
        <v>6</v>
      </c>
      <c r="C12" s="10"/>
      <c r="D12" s="10" t="s">
        <v>5</v>
      </c>
      <c r="E12" s="49" t="s">
        <v>155</v>
      </c>
      <c r="F12" s="10" t="s">
        <v>460</v>
      </c>
      <c r="G12" s="19">
        <v>0.95833333333333337</v>
      </c>
      <c r="H12" s="16">
        <v>1080</v>
      </c>
      <c r="I12" s="50">
        <f t="shared" si="1"/>
        <v>46.956521739130437</v>
      </c>
      <c r="J12" s="49"/>
      <c r="K12" s="3">
        <f>23+0/60</f>
        <v>23</v>
      </c>
      <c r="L12" t="s">
        <v>440</v>
      </c>
    </row>
    <row r="13" spans="1:15" x14ac:dyDescent="0.25">
      <c r="A13" s="69">
        <v>10</v>
      </c>
      <c r="B13" s="10" t="s">
        <v>15</v>
      </c>
      <c r="C13" s="10" t="s">
        <v>14</v>
      </c>
      <c r="D13" s="10" t="s">
        <v>12</v>
      </c>
      <c r="E13" s="10" t="s">
        <v>13</v>
      </c>
      <c r="F13" s="10" t="s">
        <v>444</v>
      </c>
      <c r="G13" s="19">
        <v>0.97569444444444453</v>
      </c>
      <c r="H13" s="16">
        <v>1075</v>
      </c>
      <c r="I13" s="50">
        <f t="shared" si="1"/>
        <v>45.907473309608541</v>
      </c>
      <c r="J13" s="10" t="s">
        <v>231</v>
      </c>
      <c r="K13" s="3">
        <f>23+25/60</f>
        <v>23.416666666666668</v>
      </c>
      <c r="L13" t="s">
        <v>443</v>
      </c>
    </row>
    <row r="14" spans="1:15" x14ac:dyDescent="0.25">
      <c r="A14" s="69">
        <v>11</v>
      </c>
      <c r="B14" s="10" t="s">
        <v>4</v>
      </c>
      <c r="C14" s="10"/>
      <c r="D14" s="10" t="s">
        <v>17</v>
      </c>
      <c r="E14" s="10" t="s">
        <v>0</v>
      </c>
      <c r="F14" s="10" t="s">
        <v>441</v>
      </c>
      <c r="G14" s="19">
        <v>0.78125</v>
      </c>
      <c r="H14" s="16">
        <v>1000</v>
      </c>
      <c r="I14" s="51">
        <f t="shared" si="1"/>
        <v>53.333333333333336</v>
      </c>
      <c r="J14" s="49"/>
      <c r="K14">
        <f>18+45/60</f>
        <v>18.75</v>
      </c>
      <c r="L14" t="s">
        <v>442</v>
      </c>
    </row>
    <row r="15" spans="1:15" ht="16.899999999999999" customHeight="1" x14ac:dyDescent="0.25">
      <c r="A15" s="69">
        <v>12</v>
      </c>
      <c r="B15" s="10" t="s">
        <v>74</v>
      </c>
      <c r="C15" s="49" t="s">
        <v>65</v>
      </c>
      <c r="D15" s="10" t="s">
        <v>64</v>
      </c>
      <c r="E15" s="10" t="s">
        <v>271</v>
      </c>
      <c r="F15" s="10" t="s">
        <v>73</v>
      </c>
      <c r="G15" s="19">
        <v>0.875</v>
      </c>
      <c r="H15" s="20">
        <v>980</v>
      </c>
      <c r="I15" s="50">
        <f t="shared" si="1"/>
        <v>46.666666666666664</v>
      </c>
      <c r="J15" s="49"/>
      <c r="K15">
        <f>21</f>
        <v>21</v>
      </c>
    </row>
    <row r="16" spans="1:15" ht="14.45" customHeight="1" x14ac:dyDescent="0.25">
      <c r="A16" s="69">
        <v>13</v>
      </c>
      <c r="B16" s="10" t="s">
        <v>60</v>
      </c>
      <c r="C16" s="10" t="s">
        <v>59</v>
      </c>
      <c r="D16" s="10" t="s">
        <v>55</v>
      </c>
      <c r="E16" s="10" t="s">
        <v>56</v>
      </c>
      <c r="F16" s="10" t="s">
        <v>57</v>
      </c>
      <c r="G16" s="19">
        <v>0.84375</v>
      </c>
      <c r="H16" s="20">
        <v>960</v>
      </c>
      <c r="I16" s="50">
        <f t="shared" si="1"/>
        <v>47.407407407407405</v>
      </c>
      <c r="J16" s="10" t="s">
        <v>58</v>
      </c>
      <c r="K16">
        <f>20+15/60</f>
        <v>20.25</v>
      </c>
    </row>
    <row r="17" spans="1:12" x14ac:dyDescent="0.25">
      <c r="A17" s="69">
        <v>14</v>
      </c>
      <c r="B17" s="10" t="s">
        <v>62</v>
      </c>
      <c r="C17" s="49"/>
      <c r="D17" s="10" t="s">
        <v>5</v>
      </c>
      <c r="E17" s="10" t="s">
        <v>61</v>
      </c>
      <c r="F17" s="10" t="s">
        <v>68</v>
      </c>
      <c r="G17" s="19">
        <v>0.98958333333333337</v>
      </c>
      <c r="H17" s="20">
        <v>960</v>
      </c>
      <c r="I17" s="50">
        <f t="shared" si="1"/>
        <v>40.421052631578945</v>
      </c>
      <c r="J17" s="49"/>
      <c r="K17">
        <f>23+45/60</f>
        <v>23.75</v>
      </c>
    </row>
    <row r="18" spans="1:12" ht="27.6" customHeight="1" x14ac:dyDescent="0.25">
      <c r="A18" s="69">
        <v>15</v>
      </c>
      <c r="B18" s="10" t="s">
        <v>66</v>
      </c>
      <c r="C18" s="49" t="s">
        <v>65</v>
      </c>
      <c r="D18" s="10" t="s">
        <v>64</v>
      </c>
      <c r="E18" s="10" t="s">
        <v>63</v>
      </c>
      <c r="F18" s="10" t="s">
        <v>67</v>
      </c>
      <c r="G18" s="37">
        <v>2.3333333333333335</v>
      </c>
      <c r="H18" s="20">
        <v>960</v>
      </c>
      <c r="I18" s="50">
        <f t="shared" si="1"/>
        <v>17.142857142857142</v>
      </c>
      <c r="J18" s="10" t="s">
        <v>402</v>
      </c>
      <c r="K18">
        <f>56</f>
        <v>56</v>
      </c>
    </row>
    <row r="19" spans="1:12" x14ac:dyDescent="0.25">
      <c r="A19" s="69">
        <v>16</v>
      </c>
      <c r="B19" s="10" t="s">
        <v>139</v>
      </c>
      <c r="C19" s="49" t="s">
        <v>140</v>
      </c>
      <c r="D19" s="10" t="s">
        <v>136</v>
      </c>
      <c r="E19" s="10" t="s">
        <v>137</v>
      </c>
      <c r="F19" s="10" t="s">
        <v>141</v>
      </c>
      <c r="G19" s="19">
        <v>0.83888888888888891</v>
      </c>
      <c r="H19" s="21">
        <v>950</v>
      </c>
      <c r="I19" s="75">
        <f t="shared" si="1"/>
        <v>47.185430463576161</v>
      </c>
      <c r="J19" s="10" t="s">
        <v>142</v>
      </c>
      <c r="K19">
        <f>20+8/60</f>
        <v>20.133333333333333</v>
      </c>
    </row>
    <row r="20" spans="1:12" x14ac:dyDescent="0.25">
      <c r="A20" s="69">
        <v>17</v>
      </c>
      <c r="B20" s="10" t="s">
        <v>15</v>
      </c>
      <c r="C20" s="49" t="s">
        <v>112</v>
      </c>
      <c r="D20" s="10" t="s">
        <v>109</v>
      </c>
      <c r="E20" s="10" t="s">
        <v>110</v>
      </c>
      <c r="F20" s="10" t="s">
        <v>111</v>
      </c>
      <c r="G20" s="19">
        <v>0.84027777777777779</v>
      </c>
      <c r="H20" s="20">
        <v>900</v>
      </c>
      <c r="I20" s="50">
        <f t="shared" si="1"/>
        <v>44.628099173553714</v>
      </c>
      <c r="J20" s="49"/>
      <c r="K20" s="7">
        <f>20+10/60</f>
        <v>20.166666666666668</v>
      </c>
    </row>
    <row r="21" spans="1:12" ht="25.15" customHeight="1" x14ac:dyDescent="0.25">
      <c r="A21" s="69">
        <v>18</v>
      </c>
      <c r="B21" s="10" t="s">
        <v>108</v>
      </c>
      <c r="C21" s="49" t="s">
        <v>35</v>
      </c>
      <c r="D21" s="10" t="s">
        <v>303</v>
      </c>
      <c r="E21" s="18" t="s">
        <v>107</v>
      </c>
      <c r="F21" s="10" t="s">
        <v>106</v>
      </c>
      <c r="G21" s="39" t="s">
        <v>407</v>
      </c>
      <c r="H21" s="20">
        <v>898</v>
      </c>
      <c r="I21" s="50">
        <f t="shared" si="1"/>
        <v>37.338877338877339</v>
      </c>
      <c r="J21" s="10" t="s">
        <v>159</v>
      </c>
      <c r="K21">
        <f>24+3/60</f>
        <v>24.05</v>
      </c>
    </row>
    <row r="22" spans="1:12" ht="15" customHeight="1" x14ac:dyDescent="0.25">
      <c r="A22" s="70">
        <v>19</v>
      </c>
      <c r="B22" s="10" t="s">
        <v>312</v>
      </c>
      <c r="C22" s="49" t="s">
        <v>170</v>
      </c>
      <c r="D22" s="10" t="s">
        <v>230</v>
      </c>
      <c r="E22" s="10" t="s">
        <v>216</v>
      </c>
      <c r="F22" s="10" t="s">
        <v>314</v>
      </c>
      <c r="G22" s="19">
        <v>0.72430555555555554</v>
      </c>
      <c r="H22" s="20">
        <v>898</v>
      </c>
      <c r="I22" s="50">
        <f t="shared" si="1"/>
        <v>51.658676893576221</v>
      </c>
      <c r="J22" s="10" t="s">
        <v>313</v>
      </c>
      <c r="K22">
        <f>17+23/60</f>
        <v>17.383333333333333</v>
      </c>
    </row>
    <row r="23" spans="1:12" ht="15.6" customHeight="1" x14ac:dyDescent="0.25">
      <c r="A23" s="70">
        <v>20</v>
      </c>
      <c r="B23" s="10" t="s">
        <v>176</v>
      </c>
      <c r="C23" s="49" t="s">
        <v>170</v>
      </c>
      <c r="D23" s="10" t="s">
        <v>174</v>
      </c>
      <c r="E23" s="10" t="s">
        <v>175</v>
      </c>
      <c r="F23" s="10" t="s">
        <v>168</v>
      </c>
      <c r="G23" s="19">
        <v>0.65763888888888888</v>
      </c>
      <c r="H23" s="21">
        <v>860</v>
      </c>
      <c r="I23" s="51">
        <f t="shared" si="1"/>
        <v>54.487856388595567</v>
      </c>
      <c r="J23" s="10" t="s">
        <v>169</v>
      </c>
      <c r="K23">
        <f>15+47/60</f>
        <v>15.783333333333333</v>
      </c>
    </row>
    <row r="24" spans="1:12" ht="18" customHeight="1" x14ac:dyDescent="0.25">
      <c r="A24" s="70">
        <v>21</v>
      </c>
      <c r="B24" s="10" t="s">
        <v>176</v>
      </c>
      <c r="C24" s="10" t="s">
        <v>178</v>
      </c>
      <c r="D24" s="10" t="s">
        <v>179</v>
      </c>
      <c r="E24" s="10" t="s">
        <v>180</v>
      </c>
      <c r="F24" s="10" t="s">
        <v>177</v>
      </c>
      <c r="G24" s="19">
        <v>0.64583333333333337</v>
      </c>
      <c r="H24" s="21">
        <v>839</v>
      </c>
      <c r="I24" s="51">
        <f t="shared" si="1"/>
        <v>54.12903225806452</v>
      </c>
      <c r="J24" s="10" t="s">
        <v>169</v>
      </c>
      <c r="K24">
        <f>15+30/60</f>
        <v>15.5</v>
      </c>
    </row>
    <row r="25" spans="1:12" x14ac:dyDescent="0.25">
      <c r="A25" s="70">
        <v>22</v>
      </c>
      <c r="B25" s="10" t="s">
        <v>176</v>
      </c>
      <c r="C25" s="49" t="s">
        <v>183</v>
      </c>
      <c r="D25" s="10" t="s">
        <v>172</v>
      </c>
      <c r="E25" s="10" t="s">
        <v>181</v>
      </c>
      <c r="F25" s="10" t="s">
        <v>182</v>
      </c>
      <c r="G25" s="19">
        <v>0.76041666666666663</v>
      </c>
      <c r="H25" s="21">
        <v>836</v>
      </c>
      <c r="I25" s="50">
        <f t="shared" si="1"/>
        <v>45.80821917808219</v>
      </c>
      <c r="J25" s="10" t="s">
        <v>169</v>
      </c>
      <c r="K25">
        <f>18+15/60</f>
        <v>18.25</v>
      </c>
    </row>
    <row r="26" spans="1:12" x14ac:dyDescent="0.25">
      <c r="A26" s="70">
        <v>23</v>
      </c>
      <c r="B26" s="10" t="s">
        <v>176</v>
      </c>
      <c r="C26" s="10" t="s">
        <v>217</v>
      </c>
      <c r="D26" s="10" t="s">
        <v>184</v>
      </c>
      <c r="E26" s="10" t="s">
        <v>185</v>
      </c>
      <c r="F26" s="10" t="s">
        <v>186</v>
      </c>
      <c r="G26" s="19">
        <v>0.66319444444444442</v>
      </c>
      <c r="H26" s="21">
        <v>798</v>
      </c>
      <c r="I26" s="51">
        <f t="shared" si="1"/>
        <v>50.136125654450261</v>
      </c>
      <c r="J26" s="10" t="s">
        <v>169</v>
      </c>
      <c r="K26" s="1">
        <f>15+55/60</f>
        <v>15.916666666666666</v>
      </c>
    </row>
    <row r="27" spans="1:12" ht="18.75" customHeight="1" x14ac:dyDescent="0.25">
      <c r="A27" s="69">
        <v>24</v>
      </c>
      <c r="B27" s="10" t="s">
        <v>118</v>
      </c>
      <c r="C27" s="49" t="s">
        <v>11</v>
      </c>
      <c r="D27" s="10" t="s">
        <v>116</v>
      </c>
      <c r="E27" s="10" t="s">
        <v>117</v>
      </c>
      <c r="F27" s="10" t="s">
        <v>462</v>
      </c>
      <c r="G27" s="19">
        <v>0.62916666666666665</v>
      </c>
      <c r="H27" s="21">
        <v>790</v>
      </c>
      <c r="I27" s="51">
        <f t="shared" si="1"/>
        <v>52.317880794701985</v>
      </c>
      <c r="J27" s="10" t="s">
        <v>158</v>
      </c>
      <c r="K27">
        <f>15+6/60</f>
        <v>15.1</v>
      </c>
      <c r="L27" t="s">
        <v>461</v>
      </c>
    </row>
    <row r="28" spans="1:12" x14ac:dyDescent="0.25">
      <c r="A28" s="70">
        <v>25</v>
      </c>
      <c r="B28" s="10" t="s">
        <v>176</v>
      </c>
      <c r="C28" s="10" t="s">
        <v>188</v>
      </c>
      <c r="D28" s="10" t="s">
        <v>189</v>
      </c>
      <c r="E28" s="10" t="s">
        <v>187</v>
      </c>
      <c r="F28" s="10" t="s">
        <v>186</v>
      </c>
      <c r="G28" s="19">
        <v>0.62777777777777777</v>
      </c>
      <c r="H28" s="21">
        <v>784</v>
      </c>
      <c r="I28" s="51">
        <f t="shared" si="1"/>
        <v>52.035398230088497</v>
      </c>
      <c r="J28" s="10" t="s">
        <v>169</v>
      </c>
      <c r="K28">
        <f>15+4/60</f>
        <v>15.066666666666666</v>
      </c>
    </row>
    <row r="29" spans="1:12" x14ac:dyDescent="0.25">
      <c r="A29" s="70">
        <v>26</v>
      </c>
      <c r="B29" s="10" t="s">
        <v>225</v>
      </c>
      <c r="C29" s="10" t="s">
        <v>170</v>
      </c>
      <c r="D29" s="10" t="s">
        <v>174</v>
      </c>
      <c r="E29" s="10" t="s">
        <v>220</v>
      </c>
      <c r="F29" s="23" t="s">
        <v>286</v>
      </c>
      <c r="G29" s="76">
        <v>0.71527777777777779</v>
      </c>
      <c r="H29" s="21">
        <v>781</v>
      </c>
      <c r="I29" s="50">
        <f>H29/K29</f>
        <v>45.495145631067956</v>
      </c>
      <c r="J29" s="10" t="s">
        <v>226</v>
      </c>
      <c r="K29">
        <f>17+10/60</f>
        <v>17.166666666666668</v>
      </c>
    </row>
    <row r="30" spans="1:12" ht="15.6" customHeight="1" x14ac:dyDescent="0.25">
      <c r="A30" s="69">
        <v>27</v>
      </c>
      <c r="B30" s="10" t="s">
        <v>125</v>
      </c>
      <c r="C30" s="49" t="s">
        <v>112</v>
      </c>
      <c r="D30" s="10" t="s">
        <v>122</v>
      </c>
      <c r="E30" s="10" t="s">
        <v>123</v>
      </c>
      <c r="F30" s="10" t="s">
        <v>124</v>
      </c>
      <c r="G30" s="19">
        <v>0.62152777777777779</v>
      </c>
      <c r="H30" s="21">
        <v>780</v>
      </c>
      <c r="I30" s="53">
        <f t="shared" si="1"/>
        <v>52.290502793296092</v>
      </c>
      <c r="J30" s="10" t="s">
        <v>157</v>
      </c>
      <c r="K30">
        <f>14+55/60</f>
        <v>14.916666666666666</v>
      </c>
    </row>
    <row r="31" spans="1:12" ht="14.45" customHeight="1" x14ac:dyDescent="0.25">
      <c r="A31" s="70">
        <v>28</v>
      </c>
      <c r="B31" s="17">
        <v>38241</v>
      </c>
      <c r="C31" s="42" t="s">
        <v>336</v>
      </c>
      <c r="D31" s="42" t="s">
        <v>263</v>
      </c>
      <c r="E31" s="42" t="s">
        <v>258</v>
      </c>
      <c r="F31" s="41" t="s">
        <v>348</v>
      </c>
      <c r="G31" s="43">
        <v>0.70138888888888884</v>
      </c>
      <c r="H31" s="21">
        <v>780</v>
      </c>
      <c r="I31" s="50">
        <f>H31/K31</f>
        <v>46.336633663366342</v>
      </c>
      <c r="J31" s="10" t="s">
        <v>334</v>
      </c>
      <c r="K31">
        <f>16+50/60</f>
        <v>16.833333333333332</v>
      </c>
    </row>
    <row r="32" spans="1:12" ht="14.45" customHeight="1" x14ac:dyDescent="0.25">
      <c r="A32" s="70">
        <v>29</v>
      </c>
      <c r="B32" s="17">
        <v>38241</v>
      </c>
      <c r="C32" s="42" t="s">
        <v>337</v>
      </c>
      <c r="D32" s="42" t="s">
        <v>403</v>
      </c>
      <c r="E32" s="42" t="s">
        <v>404</v>
      </c>
      <c r="F32" s="41" t="s">
        <v>347</v>
      </c>
      <c r="G32" s="43">
        <v>0.70833333333333337</v>
      </c>
      <c r="H32" s="21">
        <v>775</v>
      </c>
      <c r="I32" s="50">
        <f>H32/K32</f>
        <v>45.588235294117645</v>
      </c>
      <c r="J32" s="10" t="s">
        <v>334</v>
      </c>
      <c r="K32">
        <v>17</v>
      </c>
    </row>
    <row r="33" spans="1:13" ht="15.6" customHeight="1" x14ac:dyDescent="0.25">
      <c r="A33" s="70">
        <v>30</v>
      </c>
      <c r="B33" s="17" t="s">
        <v>310</v>
      </c>
      <c r="C33" s="49" t="s">
        <v>170</v>
      </c>
      <c r="D33" s="10" t="s">
        <v>230</v>
      </c>
      <c r="E33" s="10" t="s">
        <v>309</v>
      </c>
      <c r="F33" s="10"/>
      <c r="G33" s="19">
        <v>0.70833333333333337</v>
      </c>
      <c r="H33" s="21">
        <v>761</v>
      </c>
      <c r="I33" s="52">
        <f t="shared" si="1"/>
        <v>44.764705882352942</v>
      </c>
      <c r="J33" s="10"/>
      <c r="K33">
        <f>17+0</f>
        <v>17</v>
      </c>
    </row>
    <row r="34" spans="1:13" ht="14.45" customHeight="1" x14ac:dyDescent="0.25">
      <c r="A34" s="70">
        <v>31</v>
      </c>
      <c r="B34" s="17">
        <v>38241</v>
      </c>
      <c r="C34" s="42" t="s">
        <v>344</v>
      </c>
      <c r="D34" s="42" t="s">
        <v>343</v>
      </c>
      <c r="E34" s="42" t="s">
        <v>342</v>
      </c>
      <c r="F34" s="41" t="s">
        <v>349</v>
      </c>
      <c r="G34" s="43">
        <v>0.625</v>
      </c>
      <c r="H34" s="48">
        <v>754</v>
      </c>
      <c r="I34" s="53">
        <f t="shared" si="1"/>
        <v>50.266666666666666</v>
      </c>
      <c r="J34" s="10" t="s">
        <v>334</v>
      </c>
      <c r="K34">
        <v>15</v>
      </c>
    </row>
    <row r="35" spans="1:13" ht="14.45" customHeight="1" x14ac:dyDescent="0.25">
      <c r="A35" s="70">
        <v>32</v>
      </c>
      <c r="B35" s="17">
        <v>38241</v>
      </c>
      <c r="C35" s="42" t="s">
        <v>345</v>
      </c>
      <c r="D35" s="42" t="s">
        <v>338</v>
      </c>
      <c r="E35" s="42" t="s">
        <v>341</v>
      </c>
      <c r="F35" s="41" t="s">
        <v>350</v>
      </c>
      <c r="G35" s="43">
        <v>0.70625000000000004</v>
      </c>
      <c r="H35" s="48">
        <v>747</v>
      </c>
      <c r="I35" s="52">
        <f t="shared" si="1"/>
        <v>44.070796460176993</v>
      </c>
      <c r="J35" s="10" t="s">
        <v>334</v>
      </c>
      <c r="K35">
        <f>16+57/60</f>
        <v>16.95</v>
      </c>
    </row>
    <row r="36" spans="1:13" ht="14.45" customHeight="1" x14ac:dyDescent="0.25">
      <c r="A36" s="70">
        <v>33</v>
      </c>
      <c r="B36" s="17">
        <v>38241</v>
      </c>
      <c r="C36" s="42" t="s">
        <v>346</v>
      </c>
      <c r="D36" s="42" t="s">
        <v>339</v>
      </c>
      <c r="E36" s="42" t="s">
        <v>340</v>
      </c>
      <c r="F36" s="41" t="s">
        <v>350</v>
      </c>
      <c r="G36" s="43">
        <v>0.7</v>
      </c>
      <c r="H36" s="48">
        <v>745</v>
      </c>
      <c r="I36" s="52">
        <f>H36/K36</f>
        <v>44.345238095238095</v>
      </c>
      <c r="J36" s="10" t="s">
        <v>334</v>
      </c>
      <c r="K36">
        <f>16+48/60</f>
        <v>16.8</v>
      </c>
    </row>
    <row r="37" spans="1:13" x14ac:dyDescent="0.25">
      <c r="A37" s="70">
        <v>34</v>
      </c>
      <c r="B37" s="10" t="s">
        <v>176</v>
      </c>
      <c r="C37" s="10" t="s">
        <v>190</v>
      </c>
      <c r="D37" s="10" t="s">
        <v>192</v>
      </c>
      <c r="E37" s="10" t="s">
        <v>191</v>
      </c>
      <c r="F37" s="10" t="s">
        <v>201</v>
      </c>
      <c r="G37" s="19">
        <v>0.79722222222222217</v>
      </c>
      <c r="H37" s="21">
        <v>742</v>
      </c>
      <c r="I37" s="50">
        <f>H37/K37</f>
        <v>38.780487804878049</v>
      </c>
      <c r="J37" s="10" t="s">
        <v>169</v>
      </c>
      <c r="K37">
        <f>19+8/60</f>
        <v>19.133333333333333</v>
      </c>
    </row>
    <row r="38" spans="1:13" x14ac:dyDescent="0.25">
      <c r="A38" s="70">
        <v>35</v>
      </c>
      <c r="B38" s="57" t="s">
        <v>311</v>
      </c>
      <c r="C38" s="31" t="s">
        <v>170</v>
      </c>
      <c r="D38" s="31" t="s">
        <v>230</v>
      </c>
      <c r="E38" s="31" t="s">
        <v>216</v>
      </c>
      <c r="F38" s="23" t="s">
        <v>287</v>
      </c>
      <c r="G38" s="77">
        <v>0.73958333333333337</v>
      </c>
      <c r="H38" s="32">
        <v>737</v>
      </c>
      <c r="I38" s="50">
        <f>H38/K38</f>
        <v>41.521126760563384</v>
      </c>
      <c r="J38" s="78"/>
      <c r="K38">
        <f>17+45/60</f>
        <v>17.75</v>
      </c>
    </row>
    <row r="39" spans="1:13" x14ac:dyDescent="0.25">
      <c r="A39" s="70">
        <v>36</v>
      </c>
      <c r="B39" s="10" t="s">
        <v>227</v>
      </c>
      <c r="C39" s="10" t="s">
        <v>170</v>
      </c>
      <c r="D39" s="10" t="s">
        <v>174</v>
      </c>
      <c r="E39" s="10" t="s">
        <v>220</v>
      </c>
      <c r="F39" s="10" t="s">
        <v>228</v>
      </c>
      <c r="G39" s="28">
        <v>0.79999999999999993</v>
      </c>
      <c r="H39" s="21">
        <v>733</v>
      </c>
      <c r="I39" s="50">
        <f t="shared" si="1"/>
        <v>38.177083333333336</v>
      </c>
      <c r="J39" s="49"/>
      <c r="K39">
        <f>19+12/60</f>
        <v>19.2</v>
      </c>
    </row>
    <row r="40" spans="1:13" x14ac:dyDescent="0.25">
      <c r="A40" s="70">
        <v>37</v>
      </c>
      <c r="B40" s="17">
        <v>39025</v>
      </c>
      <c r="C40" s="10" t="s">
        <v>243</v>
      </c>
      <c r="D40" s="10" t="s">
        <v>463</v>
      </c>
      <c r="E40" s="10" t="s">
        <v>258</v>
      </c>
      <c r="F40" s="10" t="s">
        <v>465</v>
      </c>
      <c r="G40" s="28">
        <v>0.47500000000000003</v>
      </c>
      <c r="H40" s="21">
        <v>730</v>
      </c>
      <c r="I40" s="50">
        <f t="shared" si="1"/>
        <v>64.035087719298247</v>
      </c>
      <c r="J40" s="49" t="s">
        <v>464</v>
      </c>
      <c r="K40">
        <f>11+24/60</f>
        <v>11.4</v>
      </c>
    </row>
    <row r="41" spans="1:13" x14ac:dyDescent="0.25">
      <c r="A41" s="70">
        <v>38</v>
      </c>
      <c r="B41" s="10" t="s">
        <v>176</v>
      </c>
      <c r="C41" s="10" t="s">
        <v>193</v>
      </c>
      <c r="D41" s="10" t="s">
        <v>194</v>
      </c>
      <c r="E41" s="10" t="s">
        <v>195</v>
      </c>
      <c r="F41" s="10" t="s">
        <v>199</v>
      </c>
      <c r="G41" s="19">
        <v>0.56041666666666667</v>
      </c>
      <c r="H41" s="21">
        <v>730</v>
      </c>
      <c r="I41" s="51">
        <f t="shared" si="1"/>
        <v>54.275092936802977</v>
      </c>
      <c r="J41" s="10" t="s">
        <v>169</v>
      </c>
      <c r="K41">
        <f>13+27/60</f>
        <v>13.45</v>
      </c>
    </row>
    <row r="42" spans="1:13" ht="16.149999999999999" customHeight="1" x14ac:dyDescent="0.25">
      <c r="A42" s="69">
        <v>39</v>
      </c>
      <c r="B42" s="10" t="s">
        <v>145</v>
      </c>
      <c r="C42" s="49" t="s">
        <v>112</v>
      </c>
      <c r="D42" s="10" t="s">
        <v>122</v>
      </c>
      <c r="E42" s="10" t="s">
        <v>143</v>
      </c>
      <c r="F42" s="10" t="s">
        <v>144</v>
      </c>
      <c r="G42" s="19">
        <v>0.70833333333333337</v>
      </c>
      <c r="H42" s="21">
        <v>725</v>
      </c>
      <c r="I42" s="75">
        <f t="shared" si="1"/>
        <v>42.647058823529413</v>
      </c>
      <c r="J42" s="49"/>
      <c r="K42">
        <f>17</f>
        <v>17</v>
      </c>
    </row>
    <row r="43" spans="1:13" ht="17.25" customHeight="1" x14ac:dyDescent="0.25">
      <c r="A43" s="70">
        <v>40</v>
      </c>
      <c r="B43" s="58" t="s">
        <v>250</v>
      </c>
      <c r="C43" s="10" t="s">
        <v>170</v>
      </c>
      <c r="D43" s="10" t="s">
        <v>174</v>
      </c>
      <c r="E43" s="10" t="s">
        <v>220</v>
      </c>
      <c r="F43" s="10" t="s">
        <v>223</v>
      </c>
      <c r="G43" s="28">
        <v>0.66180555555555554</v>
      </c>
      <c r="H43" s="21">
        <v>724</v>
      </c>
      <c r="I43" s="50">
        <f t="shared" si="1"/>
        <v>45.58237145855194</v>
      </c>
      <c r="J43" s="10" t="s">
        <v>400</v>
      </c>
      <c r="K43">
        <f>15+53/60</f>
        <v>15.883333333333333</v>
      </c>
    </row>
    <row r="44" spans="1:13" x14ac:dyDescent="0.25">
      <c r="A44" s="70">
        <v>41</v>
      </c>
      <c r="B44" s="10" t="s">
        <v>176</v>
      </c>
      <c r="C44" s="10" t="s">
        <v>196</v>
      </c>
      <c r="D44" s="10" t="s">
        <v>197</v>
      </c>
      <c r="E44" s="10" t="s">
        <v>198</v>
      </c>
      <c r="F44" s="10" t="s">
        <v>200</v>
      </c>
      <c r="G44" s="19">
        <v>0.67361111111111116</v>
      </c>
      <c r="H44" s="21">
        <v>719</v>
      </c>
      <c r="I44" s="50">
        <f t="shared" si="1"/>
        <v>44.47422680412371</v>
      </c>
      <c r="J44" s="10" t="s">
        <v>169</v>
      </c>
      <c r="K44">
        <f>16+10/60</f>
        <v>16.166666666666668</v>
      </c>
      <c r="M44" s="1"/>
    </row>
    <row r="45" spans="1:13" x14ac:dyDescent="0.25">
      <c r="A45" s="70">
        <v>42</v>
      </c>
      <c r="B45" s="10" t="s">
        <v>210</v>
      </c>
      <c r="C45" s="10" t="s">
        <v>170</v>
      </c>
      <c r="D45" s="10" t="s">
        <v>174</v>
      </c>
      <c r="E45" s="10" t="s">
        <v>211</v>
      </c>
      <c r="F45" s="10" t="s">
        <v>222</v>
      </c>
      <c r="G45" s="28">
        <v>0.73611111111111116</v>
      </c>
      <c r="H45" s="21">
        <v>712</v>
      </c>
      <c r="I45" s="50">
        <f t="shared" si="1"/>
        <v>40.301886792452827</v>
      </c>
      <c r="J45" s="49"/>
      <c r="K45">
        <f>17+40/60</f>
        <v>17.666666666666668</v>
      </c>
    </row>
    <row r="46" spans="1:13" x14ac:dyDescent="0.25">
      <c r="A46" s="70">
        <v>43</v>
      </c>
      <c r="B46" s="17">
        <v>38241</v>
      </c>
      <c r="C46" s="10" t="s">
        <v>351</v>
      </c>
      <c r="D46" s="10" t="s">
        <v>352</v>
      </c>
      <c r="E46" s="10" t="s">
        <v>355</v>
      </c>
      <c r="F46" s="10" t="s">
        <v>353</v>
      </c>
      <c r="G46" s="28"/>
      <c r="H46" s="21">
        <v>709</v>
      </c>
      <c r="I46" s="50"/>
      <c r="J46" s="10" t="s">
        <v>354</v>
      </c>
    </row>
    <row r="47" spans="1:13" x14ac:dyDescent="0.25">
      <c r="A47" s="70">
        <v>44</v>
      </c>
      <c r="B47" s="10" t="s">
        <v>213</v>
      </c>
      <c r="C47" s="10" t="s">
        <v>170</v>
      </c>
      <c r="D47" s="10" t="s">
        <v>174</v>
      </c>
      <c r="E47" s="10" t="s">
        <v>216</v>
      </c>
      <c r="F47" s="10" t="s">
        <v>288</v>
      </c>
      <c r="G47" s="28">
        <v>0.67013888888888884</v>
      </c>
      <c r="H47" s="21">
        <v>708</v>
      </c>
      <c r="I47" s="50">
        <f t="shared" si="1"/>
        <v>44.020725388601036</v>
      </c>
      <c r="J47" s="10" t="s">
        <v>212</v>
      </c>
      <c r="K47">
        <f>16+5/60</f>
        <v>16.083333333333332</v>
      </c>
    </row>
    <row r="48" spans="1:13" ht="17.45" customHeight="1" x14ac:dyDescent="0.25">
      <c r="A48" s="70">
        <v>45</v>
      </c>
      <c r="B48" s="10" t="s">
        <v>225</v>
      </c>
      <c r="C48" s="22" t="s">
        <v>232</v>
      </c>
      <c r="D48" s="10" t="s">
        <v>233</v>
      </c>
      <c r="E48" s="22" t="s">
        <v>234</v>
      </c>
      <c r="F48" s="23" t="s">
        <v>239</v>
      </c>
      <c r="G48" s="28">
        <v>0.7284722222222223</v>
      </c>
      <c r="H48" s="21">
        <v>705</v>
      </c>
      <c r="I48" s="50">
        <f t="shared" si="1"/>
        <v>40.324118207816966</v>
      </c>
      <c r="J48" s="10" t="s">
        <v>226</v>
      </c>
      <c r="K48">
        <f>17+29/60</f>
        <v>17.483333333333334</v>
      </c>
    </row>
    <row r="49" spans="1:16" x14ac:dyDescent="0.25">
      <c r="A49" s="70">
        <v>46</v>
      </c>
      <c r="B49" s="10" t="s">
        <v>176</v>
      </c>
      <c r="C49" s="10" t="s">
        <v>202</v>
      </c>
      <c r="D49" s="10" t="s">
        <v>203</v>
      </c>
      <c r="E49" s="10" t="s">
        <v>204</v>
      </c>
      <c r="F49" s="10" t="s">
        <v>208</v>
      </c>
      <c r="G49" s="19">
        <v>0.58333333333333337</v>
      </c>
      <c r="H49" s="21">
        <v>701</v>
      </c>
      <c r="I49" s="51">
        <f t="shared" si="1"/>
        <v>50.071428571428569</v>
      </c>
      <c r="J49" s="10" t="s">
        <v>169</v>
      </c>
      <c r="K49">
        <f>14</f>
        <v>14</v>
      </c>
      <c r="P49" s="1"/>
    </row>
    <row r="50" spans="1:16" x14ac:dyDescent="0.25">
      <c r="A50" s="70">
        <v>47</v>
      </c>
      <c r="B50" s="10" t="s">
        <v>290</v>
      </c>
      <c r="C50" s="10" t="s">
        <v>170</v>
      </c>
      <c r="D50" s="10" t="s">
        <v>230</v>
      </c>
      <c r="E50" s="10" t="s">
        <v>216</v>
      </c>
      <c r="F50" s="23" t="s">
        <v>289</v>
      </c>
      <c r="G50" s="34">
        <v>0.68402777777777779</v>
      </c>
      <c r="H50" s="21">
        <v>697</v>
      </c>
      <c r="I50" s="54">
        <v>47</v>
      </c>
      <c r="J50" s="10" t="s">
        <v>291</v>
      </c>
      <c r="P50" s="1"/>
    </row>
    <row r="51" spans="1:16" ht="15.75" customHeight="1" x14ac:dyDescent="0.25">
      <c r="A51" s="70">
        <v>48</v>
      </c>
      <c r="B51" s="17">
        <v>38241</v>
      </c>
      <c r="C51" s="42" t="s">
        <v>214</v>
      </c>
      <c r="D51" s="42" t="s">
        <v>173</v>
      </c>
      <c r="E51" s="42" t="s">
        <v>356</v>
      </c>
      <c r="F51" s="41" t="s">
        <v>360</v>
      </c>
      <c r="G51" s="43">
        <v>0.74861111111111101</v>
      </c>
      <c r="H51" s="21">
        <v>696</v>
      </c>
      <c r="I51" s="54">
        <f>H51/K51</f>
        <v>38.738404452690169</v>
      </c>
      <c r="J51" s="10" t="s">
        <v>334</v>
      </c>
      <c r="K51">
        <f>17+58/60</f>
        <v>17.966666666666665</v>
      </c>
      <c r="P51" s="1"/>
    </row>
    <row r="52" spans="1:16" ht="15.75" customHeight="1" x14ac:dyDescent="0.25">
      <c r="A52" s="70">
        <v>49</v>
      </c>
      <c r="B52" s="17">
        <v>38241</v>
      </c>
      <c r="C52" s="42" t="s">
        <v>359</v>
      </c>
      <c r="D52" s="42" t="s">
        <v>357</v>
      </c>
      <c r="E52" s="42" t="s">
        <v>358</v>
      </c>
      <c r="F52" s="41" t="s">
        <v>360</v>
      </c>
      <c r="G52" s="43">
        <v>0.78541666666666676</v>
      </c>
      <c r="H52" s="21">
        <v>694</v>
      </c>
      <c r="I52" s="54">
        <f>H52/K52</f>
        <v>36.816976127320949</v>
      </c>
      <c r="J52" s="10" t="s">
        <v>334</v>
      </c>
      <c r="K52">
        <f>18+51/60</f>
        <v>18.850000000000001</v>
      </c>
      <c r="P52" s="1"/>
    </row>
    <row r="53" spans="1:16" x14ac:dyDescent="0.25">
      <c r="A53" s="70">
        <v>50</v>
      </c>
      <c r="B53" s="10" t="s">
        <v>176</v>
      </c>
      <c r="C53" s="10" t="s">
        <v>205</v>
      </c>
      <c r="D53" s="10" t="s">
        <v>206</v>
      </c>
      <c r="E53" s="10" t="s">
        <v>207</v>
      </c>
      <c r="F53" s="35" t="s">
        <v>209</v>
      </c>
      <c r="G53" s="19">
        <v>0.55902777777777779</v>
      </c>
      <c r="H53" s="21">
        <v>694</v>
      </c>
      <c r="I53" s="51">
        <f t="shared" si="1"/>
        <v>51.726708074534166</v>
      </c>
      <c r="J53" s="10" t="s">
        <v>169</v>
      </c>
      <c r="K53">
        <f>13+25/60</f>
        <v>13.416666666666666</v>
      </c>
    </row>
    <row r="54" spans="1:16" ht="24" customHeight="1" x14ac:dyDescent="0.25">
      <c r="A54" s="69">
        <v>51</v>
      </c>
      <c r="B54" s="10" t="s">
        <v>121</v>
      </c>
      <c r="C54" s="49" t="s">
        <v>11</v>
      </c>
      <c r="D54" s="10" t="s">
        <v>119</v>
      </c>
      <c r="E54" s="10" t="s">
        <v>255</v>
      </c>
      <c r="F54" s="10" t="s">
        <v>120</v>
      </c>
      <c r="G54" s="19">
        <v>0.64027777777777783</v>
      </c>
      <c r="H54" s="21">
        <v>688</v>
      </c>
      <c r="I54" s="75">
        <f t="shared" si="1"/>
        <v>44.772234273318873</v>
      </c>
      <c r="J54" s="49"/>
      <c r="K54">
        <f>15+22/60</f>
        <v>15.366666666666667</v>
      </c>
    </row>
    <row r="55" spans="1:16" ht="15" customHeight="1" x14ac:dyDescent="0.25">
      <c r="A55" s="70">
        <v>52</v>
      </c>
      <c r="B55" s="17">
        <v>38241</v>
      </c>
      <c r="C55" s="42" t="s">
        <v>368</v>
      </c>
      <c r="D55" s="10" t="s">
        <v>233</v>
      </c>
      <c r="E55" s="10" t="s">
        <v>234</v>
      </c>
      <c r="F55" s="41" t="s">
        <v>369</v>
      </c>
      <c r="G55" s="19">
        <v>0.69444444444444453</v>
      </c>
      <c r="H55" s="21">
        <v>679</v>
      </c>
      <c r="I55" s="50">
        <f>H55/K55</f>
        <v>40.739999999999995</v>
      </c>
      <c r="J55" s="10" t="s">
        <v>334</v>
      </c>
      <c r="K55">
        <f>16+40/60</f>
        <v>16.666666666666668</v>
      </c>
    </row>
    <row r="56" spans="1:16" ht="14.25" customHeight="1" x14ac:dyDescent="0.25">
      <c r="A56" s="69">
        <v>53</v>
      </c>
      <c r="B56" s="17">
        <v>4069</v>
      </c>
      <c r="C56" s="49" t="s">
        <v>84</v>
      </c>
      <c r="D56" s="10" t="s">
        <v>83</v>
      </c>
      <c r="E56" s="10" t="s">
        <v>85</v>
      </c>
      <c r="F56" s="10" t="s">
        <v>458</v>
      </c>
      <c r="G56" s="19">
        <v>0.31458333333333333</v>
      </c>
      <c r="H56" s="20">
        <v>670</v>
      </c>
      <c r="I56" s="79">
        <f t="shared" si="1"/>
        <v>88.741721854304643</v>
      </c>
      <c r="J56" s="49"/>
      <c r="K56">
        <f>7+33/60</f>
        <v>7.55</v>
      </c>
      <c r="L56" t="s">
        <v>457</v>
      </c>
    </row>
    <row r="57" spans="1:16" x14ac:dyDescent="0.25">
      <c r="A57" s="70">
        <v>54</v>
      </c>
      <c r="B57" s="10" t="s">
        <v>218</v>
      </c>
      <c r="C57" s="10" t="s">
        <v>261</v>
      </c>
      <c r="D57" s="10" t="s">
        <v>262</v>
      </c>
      <c r="E57" s="10" t="s">
        <v>263</v>
      </c>
      <c r="F57" s="10" t="s">
        <v>264</v>
      </c>
      <c r="G57" s="19">
        <v>0.83263888888888893</v>
      </c>
      <c r="H57" s="21">
        <v>668</v>
      </c>
      <c r="I57" s="50">
        <f t="shared" si="1"/>
        <v>33.427856547122602</v>
      </c>
      <c r="J57" s="10" t="s">
        <v>221</v>
      </c>
      <c r="K57">
        <f>19+59/60</f>
        <v>19.983333333333334</v>
      </c>
    </row>
    <row r="58" spans="1:16" ht="15" customHeight="1" x14ac:dyDescent="0.25">
      <c r="A58" s="69">
        <v>55</v>
      </c>
      <c r="B58" s="17">
        <v>4103</v>
      </c>
      <c r="C58" s="49" t="s">
        <v>84</v>
      </c>
      <c r="D58" s="10" t="s">
        <v>86</v>
      </c>
      <c r="E58" s="10" t="s">
        <v>87</v>
      </c>
      <c r="F58" s="10" t="s">
        <v>88</v>
      </c>
      <c r="G58" s="19">
        <v>0.375</v>
      </c>
      <c r="H58" s="20">
        <v>660</v>
      </c>
      <c r="I58" s="80">
        <f t="shared" si="1"/>
        <v>73.333333333333329</v>
      </c>
      <c r="J58" s="49"/>
      <c r="K58">
        <f>9</f>
        <v>9</v>
      </c>
    </row>
    <row r="59" spans="1:16" ht="16.899999999999999" customHeight="1" x14ac:dyDescent="0.25">
      <c r="A59" s="69">
        <v>56</v>
      </c>
      <c r="B59" s="17">
        <v>10731</v>
      </c>
      <c r="C59" s="49" t="s">
        <v>153</v>
      </c>
      <c r="D59" s="10" t="s">
        <v>146</v>
      </c>
      <c r="E59" s="10" t="s">
        <v>147</v>
      </c>
      <c r="F59" s="10" t="s">
        <v>148</v>
      </c>
      <c r="G59" s="55"/>
      <c r="H59" s="21">
        <v>660</v>
      </c>
      <c r="I59" s="49"/>
      <c r="J59" s="49"/>
    </row>
    <row r="60" spans="1:16" ht="17.45" customHeight="1" x14ac:dyDescent="0.25">
      <c r="A60" s="70">
        <v>57</v>
      </c>
      <c r="B60" s="10" t="s">
        <v>225</v>
      </c>
      <c r="C60" s="22" t="s">
        <v>235</v>
      </c>
      <c r="D60" s="22" t="s">
        <v>236</v>
      </c>
      <c r="E60" s="24" t="s">
        <v>237</v>
      </c>
      <c r="F60" s="23" t="s">
        <v>238</v>
      </c>
      <c r="G60" s="81">
        <v>0.71180555556202307</v>
      </c>
      <c r="H60" s="21">
        <v>652</v>
      </c>
      <c r="I60" s="50">
        <f>H60/K60</f>
        <v>38.165853658536591</v>
      </c>
      <c r="J60" s="10" t="s">
        <v>226</v>
      </c>
      <c r="K60">
        <f>17+5/60</f>
        <v>17.083333333333332</v>
      </c>
    </row>
    <row r="61" spans="1:16" x14ac:dyDescent="0.25">
      <c r="A61" s="70">
        <v>58</v>
      </c>
      <c r="B61" s="10" t="s">
        <v>225</v>
      </c>
      <c r="C61" s="22" t="s">
        <v>240</v>
      </c>
      <c r="D61" s="22" t="s">
        <v>242</v>
      </c>
      <c r="E61" s="25" t="s">
        <v>241</v>
      </c>
      <c r="F61" s="23" t="s">
        <v>302</v>
      </c>
      <c r="G61" s="71">
        <v>0.69791666666424135</v>
      </c>
      <c r="H61" s="21">
        <v>644</v>
      </c>
      <c r="I61" s="50">
        <f>H61/K61</f>
        <v>38.447761194029852</v>
      </c>
      <c r="J61" s="10" t="s">
        <v>226</v>
      </c>
      <c r="K61">
        <f>16+45/60</f>
        <v>16.75</v>
      </c>
    </row>
    <row r="62" spans="1:16" ht="15" customHeight="1" x14ac:dyDescent="0.25">
      <c r="A62" s="70">
        <v>59</v>
      </c>
      <c r="B62" s="10" t="s">
        <v>323</v>
      </c>
      <c r="C62" s="22" t="s">
        <v>318</v>
      </c>
      <c r="D62" s="22" t="s">
        <v>230</v>
      </c>
      <c r="E62" s="25" t="s">
        <v>317</v>
      </c>
      <c r="F62" s="23" t="s">
        <v>324</v>
      </c>
      <c r="G62" s="82">
        <v>0.75</v>
      </c>
      <c r="H62" s="21">
        <v>638</v>
      </c>
      <c r="I62" s="50">
        <f>H62/K62</f>
        <v>35.444444444444443</v>
      </c>
      <c r="J62" s="10" t="s">
        <v>401</v>
      </c>
      <c r="K62">
        <v>18</v>
      </c>
    </row>
    <row r="63" spans="1:16" x14ac:dyDescent="0.25">
      <c r="A63" s="70">
        <v>60</v>
      </c>
      <c r="B63" s="10" t="s">
        <v>293</v>
      </c>
      <c r="C63" s="22" t="s">
        <v>170</v>
      </c>
      <c r="D63" s="22" t="s">
        <v>230</v>
      </c>
      <c r="E63" s="25" t="s">
        <v>220</v>
      </c>
      <c r="F63" s="23" t="s">
        <v>292</v>
      </c>
      <c r="G63" s="82">
        <v>0.875</v>
      </c>
      <c r="H63" s="21">
        <v>636</v>
      </c>
      <c r="I63" s="50">
        <v>31</v>
      </c>
      <c r="J63" s="10" t="s">
        <v>294</v>
      </c>
    </row>
    <row r="64" spans="1:16" ht="25.15" customHeight="1" x14ac:dyDescent="0.25">
      <c r="A64" s="69">
        <v>61</v>
      </c>
      <c r="B64" s="17">
        <v>4328</v>
      </c>
      <c r="C64" s="49" t="s">
        <v>99</v>
      </c>
      <c r="D64" s="10" t="s">
        <v>98</v>
      </c>
      <c r="E64" s="10" t="s">
        <v>399</v>
      </c>
      <c r="F64" s="10" t="s">
        <v>100</v>
      </c>
      <c r="G64" s="19">
        <v>0.33333333333333331</v>
      </c>
      <c r="H64" s="20">
        <v>636</v>
      </c>
      <c r="I64" s="74">
        <f>H64/K64</f>
        <v>79.5</v>
      </c>
      <c r="J64" s="10" t="s">
        <v>101</v>
      </c>
      <c r="K64">
        <f>8</f>
        <v>8</v>
      </c>
    </row>
    <row r="65" spans="1:12" x14ac:dyDescent="0.25">
      <c r="A65" s="70">
        <v>62</v>
      </c>
      <c r="B65" s="10" t="s">
        <v>229</v>
      </c>
      <c r="C65" s="10" t="s">
        <v>170</v>
      </c>
      <c r="D65" s="10" t="s">
        <v>230</v>
      </c>
      <c r="E65" s="10" t="s">
        <v>220</v>
      </c>
      <c r="F65" s="10" t="s">
        <v>405</v>
      </c>
      <c r="G65" s="28">
        <v>0.61111111111111105</v>
      </c>
      <c r="H65" s="21">
        <v>612</v>
      </c>
      <c r="I65" s="50">
        <f>H65/K65</f>
        <v>41.727272727272727</v>
      </c>
      <c r="J65" s="49"/>
      <c r="K65">
        <f>14+40/60</f>
        <v>14.666666666666666</v>
      </c>
    </row>
    <row r="66" spans="1:12" x14ac:dyDescent="0.25">
      <c r="A66" s="69">
        <v>63</v>
      </c>
      <c r="B66" s="17">
        <v>3829</v>
      </c>
      <c r="C66" s="49" t="s">
        <v>82</v>
      </c>
      <c r="D66" s="10" t="s">
        <v>80</v>
      </c>
      <c r="E66" s="10" t="s">
        <v>81</v>
      </c>
      <c r="F66" s="10" t="s">
        <v>398</v>
      </c>
      <c r="G66" s="49"/>
      <c r="H66" s="20">
        <v>611</v>
      </c>
      <c r="I66" s="49"/>
      <c r="J66" s="49"/>
    </row>
    <row r="67" spans="1:12" x14ac:dyDescent="0.25">
      <c r="A67" s="70">
        <v>64</v>
      </c>
      <c r="B67" s="10" t="s">
        <v>218</v>
      </c>
      <c r="C67" s="10" t="s">
        <v>219</v>
      </c>
      <c r="D67" s="10" t="s">
        <v>174</v>
      </c>
      <c r="E67" s="10" t="s">
        <v>220</v>
      </c>
      <c r="F67" s="10" t="s">
        <v>406</v>
      </c>
      <c r="G67" s="19">
        <v>0.80555555555555547</v>
      </c>
      <c r="H67" s="21">
        <v>610</v>
      </c>
      <c r="I67" s="50">
        <f t="shared" ref="I67:I95" si="2">H67/K67</f>
        <v>31.551724137931036</v>
      </c>
      <c r="J67" s="10" t="s">
        <v>221</v>
      </c>
      <c r="K67">
        <f>19+20/60</f>
        <v>19.333333333333332</v>
      </c>
    </row>
    <row r="68" spans="1:12" ht="19.149999999999999" customHeight="1" x14ac:dyDescent="0.25">
      <c r="A68" s="69">
        <v>65</v>
      </c>
      <c r="B68" s="17">
        <v>3487</v>
      </c>
      <c r="C68" s="10" t="s">
        <v>92</v>
      </c>
      <c r="D68" s="10" t="s">
        <v>75</v>
      </c>
      <c r="E68" s="10" t="s">
        <v>156</v>
      </c>
      <c r="F68" s="10" t="s">
        <v>459</v>
      </c>
      <c r="G68" s="19">
        <v>0.63194444444444442</v>
      </c>
      <c r="H68" s="20">
        <v>600</v>
      </c>
      <c r="I68" s="50">
        <f t="shared" si="2"/>
        <v>39.560439560439562</v>
      </c>
      <c r="J68" s="49"/>
      <c r="K68">
        <f>15+10/60</f>
        <v>15.166666666666666</v>
      </c>
      <c r="L68" t="s">
        <v>447</v>
      </c>
    </row>
    <row r="69" spans="1:12" x14ac:dyDescent="0.25">
      <c r="A69" s="70">
        <v>66</v>
      </c>
      <c r="B69" s="17">
        <v>38241</v>
      </c>
      <c r="C69" s="42" t="s">
        <v>373</v>
      </c>
      <c r="D69" s="42" t="s">
        <v>371</v>
      </c>
      <c r="E69" s="42" t="s">
        <v>372</v>
      </c>
      <c r="F69" s="41" t="s">
        <v>374</v>
      </c>
      <c r="G69" s="19">
        <v>0.58402777777777781</v>
      </c>
      <c r="H69" s="21">
        <v>596</v>
      </c>
      <c r="I69" s="50">
        <f>H69/K69</f>
        <v>42.52080856123662</v>
      </c>
      <c r="J69" s="10" t="s">
        <v>334</v>
      </c>
      <c r="K69">
        <f>14+1/60</f>
        <v>14.016666666666667</v>
      </c>
    </row>
    <row r="70" spans="1:12" x14ac:dyDescent="0.25">
      <c r="A70" s="70">
        <v>67</v>
      </c>
      <c r="B70" s="10" t="s">
        <v>218</v>
      </c>
      <c r="C70" s="10" t="s">
        <v>235</v>
      </c>
      <c r="D70" s="10" t="s">
        <v>172</v>
      </c>
      <c r="E70" s="10" t="s">
        <v>265</v>
      </c>
      <c r="F70" s="10" t="s">
        <v>266</v>
      </c>
      <c r="G70" s="19">
        <v>0.74236111111111114</v>
      </c>
      <c r="H70" s="21">
        <v>595</v>
      </c>
      <c r="I70" s="50">
        <f t="shared" si="2"/>
        <v>33.395696913002809</v>
      </c>
      <c r="J70" s="10" t="s">
        <v>221</v>
      </c>
      <c r="K70">
        <f>17+49/60</f>
        <v>17.816666666666666</v>
      </c>
    </row>
    <row r="71" spans="1:12" x14ac:dyDescent="0.25">
      <c r="A71" s="70">
        <v>68</v>
      </c>
      <c r="B71" s="10" t="s">
        <v>218</v>
      </c>
      <c r="C71" s="10" t="s">
        <v>267</v>
      </c>
      <c r="D71" s="10" t="s">
        <v>173</v>
      </c>
      <c r="E71" s="10" t="s">
        <v>215</v>
      </c>
      <c r="F71" s="10" t="s">
        <v>272</v>
      </c>
      <c r="G71" s="19">
        <v>0.87361111111111101</v>
      </c>
      <c r="H71" s="21">
        <v>591</v>
      </c>
      <c r="I71" s="50">
        <f t="shared" si="2"/>
        <v>28.187599364069953</v>
      </c>
      <c r="J71" s="10" t="s">
        <v>221</v>
      </c>
      <c r="K71">
        <f>20+58/60</f>
        <v>20.966666666666665</v>
      </c>
    </row>
    <row r="72" spans="1:12" ht="23.45" customHeight="1" x14ac:dyDescent="0.25">
      <c r="A72" s="69">
        <v>69</v>
      </c>
      <c r="B72" s="10" t="s">
        <v>131</v>
      </c>
      <c r="C72" s="49" t="s">
        <v>84</v>
      </c>
      <c r="D72" s="10" t="s">
        <v>128</v>
      </c>
      <c r="E72" s="10" t="s">
        <v>129</v>
      </c>
      <c r="F72" s="10" t="s">
        <v>132</v>
      </c>
      <c r="G72" s="19">
        <v>0.40972222222222227</v>
      </c>
      <c r="H72" s="21">
        <v>590</v>
      </c>
      <c r="I72" s="83">
        <f t="shared" si="2"/>
        <v>59.999999999999993</v>
      </c>
      <c r="J72" s="10" t="s">
        <v>130</v>
      </c>
      <c r="K72">
        <f>9+50/60</f>
        <v>9.8333333333333339</v>
      </c>
    </row>
    <row r="73" spans="1:12" x14ac:dyDescent="0.25">
      <c r="A73" s="70">
        <v>70</v>
      </c>
      <c r="B73" s="10" t="s">
        <v>225</v>
      </c>
      <c r="C73" s="22" t="s">
        <v>243</v>
      </c>
      <c r="D73" s="22" t="s">
        <v>245</v>
      </c>
      <c r="E73" s="25" t="s">
        <v>249</v>
      </c>
      <c r="F73" s="23" t="s">
        <v>244</v>
      </c>
      <c r="G73" s="71">
        <v>0.70486111110949423</v>
      </c>
      <c r="H73" s="21">
        <v>588</v>
      </c>
      <c r="I73" s="50">
        <f t="shared" si="2"/>
        <v>34.758620689655167</v>
      </c>
      <c r="J73" s="10" t="s">
        <v>226</v>
      </c>
      <c r="K73">
        <f>16+55/60</f>
        <v>16.916666666666668</v>
      </c>
    </row>
    <row r="74" spans="1:12" x14ac:dyDescent="0.25">
      <c r="A74" s="69">
        <v>71</v>
      </c>
      <c r="B74" s="10" t="s">
        <v>49</v>
      </c>
      <c r="C74" s="49"/>
      <c r="D74" s="10" t="s">
        <v>46</v>
      </c>
      <c r="E74" s="10" t="s">
        <v>47</v>
      </c>
      <c r="F74" s="10" t="s">
        <v>48</v>
      </c>
      <c r="G74" s="19">
        <v>0.57638888888888895</v>
      </c>
      <c r="H74" s="20">
        <v>570</v>
      </c>
      <c r="I74" s="50">
        <f t="shared" si="2"/>
        <v>41.204819277108435</v>
      </c>
      <c r="J74" s="49"/>
      <c r="K74">
        <f>13+50/60</f>
        <v>13.833333333333334</v>
      </c>
      <c r="L74" t="s">
        <v>456</v>
      </c>
    </row>
    <row r="75" spans="1:12" x14ac:dyDescent="0.25">
      <c r="A75" s="70">
        <v>72</v>
      </c>
      <c r="B75" s="10" t="s">
        <v>225</v>
      </c>
      <c r="C75" s="22" t="s">
        <v>178</v>
      </c>
      <c r="D75" s="22" t="s">
        <v>247</v>
      </c>
      <c r="E75" s="25" t="s">
        <v>246</v>
      </c>
      <c r="F75" s="23" t="s">
        <v>248</v>
      </c>
      <c r="G75" s="71">
        <v>0.72708333333139308</v>
      </c>
      <c r="H75" s="21">
        <v>563</v>
      </c>
      <c r="I75" s="50">
        <f t="shared" si="2"/>
        <v>32.263610315186249</v>
      </c>
      <c r="J75" s="10" t="s">
        <v>226</v>
      </c>
      <c r="K75">
        <f>17+27/60</f>
        <v>17.45</v>
      </c>
    </row>
    <row r="76" spans="1:12" x14ac:dyDescent="0.25">
      <c r="A76" s="70">
        <v>73</v>
      </c>
      <c r="B76" s="10" t="s">
        <v>225</v>
      </c>
      <c r="C76" s="22" t="s">
        <v>214</v>
      </c>
      <c r="D76" s="22" t="s">
        <v>251</v>
      </c>
      <c r="E76" s="25" t="s">
        <v>252</v>
      </c>
      <c r="F76" s="23" t="s">
        <v>273</v>
      </c>
      <c r="G76" s="71">
        <v>0.72916666667151731</v>
      </c>
      <c r="H76" s="21">
        <v>560</v>
      </c>
      <c r="I76" s="50">
        <f t="shared" si="2"/>
        <v>32</v>
      </c>
      <c r="J76" s="10" t="s">
        <v>226</v>
      </c>
      <c r="K76">
        <f>17+30/60</f>
        <v>17.5</v>
      </c>
    </row>
    <row r="77" spans="1:12" x14ac:dyDescent="0.25">
      <c r="A77" s="70">
        <v>74</v>
      </c>
      <c r="B77" s="17">
        <v>38241</v>
      </c>
      <c r="C77" s="42" t="s">
        <v>383</v>
      </c>
      <c r="D77" s="42" t="s">
        <v>380</v>
      </c>
      <c r="E77" s="42" t="s">
        <v>381</v>
      </c>
      <c r="F77" s="41" t="s">
        <v>385</v>
      </c>
      <c r="G77" s="43">
        <v>0.64166666666666672</v>
      </c>
      <c r="H77" s="21">
        <v>560</v>
      </c>
      <c r="I77" s="50">
        <f>H77/K77</f>
        <v>36.36363636363636</v>
      </c>
      <c r="J77" s="10" t="s">
        <v>334</v>
      </c>
      <c r="K77">
        <f>15+24/60</f>
        <v>15.4</v>
      </c>
    </row>
    <row r="78" spans="1:12" x14ac:dyDescent="0.25">
      <c r="A78" s="70">
        <v>75</v>
      </c>
      <c r="B78" s="17">
        <v>38241</v>
      </c>
      <c r="C78" s="42" t="s">
        <v>384</v>
      </c>
      <c r="D78" s="42" t="s">
        <v>379</v>
      </c>
      <c r="E78" s="42" t="s">
        <v>382</v>
      </c>
      <c r="F78" s="41" t="s">
        <v>386</v>
      </c>
      <c r="G78" s="43">
        <v>0.66874999999999996</v>
      </c>
      <c r="H78" s="21">
        <v>558</v>
      </c>
      <c r="I78" s="50">
        <f>H78/K78</f>
        <v>34.766355140186917</v>
      </c>
      <c r="J78" s="10" t="s">
        <v>334</v>
      </c>
      <c r="K78">
        <f>16+3/60</f>
        <v>16.05</v>
      </c>
    </row>
    <row r="79" spans="1:12" x14ac:dyDescent="0.25">
      <c r="A79" s="69">
        <v>76</v>
      </c>
      <c r="B79" s="10" t="s">
        <v>95</v>
      </c>
      <c r="C79" s="49" t="s">
        <v>96</v>
      </c>
      <c r="D79" s="10" t="s">
        <v>93</v>
      </c>
      <c r="E79" s="10" t="s">
        <v>94</v>
      </c>
      <c r="F79" s="10" t="s">
        <v>97</v>
      </c>
      <c r="G79" s="19">
        <v>0.85416666666666663</v>
      </c>
      <c r="H79" s="20">
        <v>558</v>
      </c>
      <c r="I79" s="50">
        <f t="shared" si="2"/>
        <v>27.219512195121951</v>
      </c>
      <c r="J79" s="49"/>
      <c r="K79">
        <f>20+30/60</f>
        <v>20.5</v>
      </c>
    </row>
    <row r="80" spans="1:12" x14ac:dyDescent="0.25">
      <c r="A80" s="70">
        <v>77</v>
      </c>
      <c r="B80" s="10" t="s">
        <v>315</v>
      </c>
      <c r="C80" s="49" t="s">
        <v>318</v>
      </c>
      <c r="D80" s="10" t="s">
        <v>316</v>
      </c>
      <c r="E80" s="10" t="s">
        <v>317</v>
      </c>
      <c r="F80" s="10" t="s">
        <v>320</v>
      </c>
      <c r="G80" s="39" t="s">
        <v>321</v>
      </c>
      <c r="H80" s="20">
        <v>553</v>
      </c>
      <c r="I80" s="50">
        <f t="shared" si="2"/>
        <v>18.745762711864408</v>
      </c>
      <c r="J80" s="49" t="s">
        <v>319</v>
      </c>
      <c r="K80">
        <f>29+30/60</f>
        <v>29.5</v>
      </c>
    </row>
    <row r="81" spans="1:12" ht="15" customHeight="1" x14ac:dyDescent="0.25">
      <c r="A81" s="70">
        <v>78</v>
      </c>
      <c r="B81" s="17">
        <v>38241</v>
      </c>
      <c r="C81" s="42" t="s">
        <v>387</v>
      </c>
      <c r="D81" s="42" t="s">
        <v>389</v>
      </c>
      <c r="E81" s="42" t="s">
        <v>390</v>
      </c>
      <c r="F81" s="41" t="s">
        <v>374</v>
      </c>
      <c r="G81" s="39" t="s">
        <v>388</v>
      </c>
      <c r="H81" s="20">
        <v>545</v>
      </c>
      <c r="I81" s="50">
        <f>H81/K81</f>
        <v>40.773067331670823</v>
      </c>
      <c r="J81" s="10" t="s">
        <v>334</v>
      </c>
      <c r="K81">
        <f>13+22/60</f>
        <v>13.366666666666667</v>
      </c>
    </row>
    <row r="82" spans="1:12" ht="17.45" customHeight="1" x14ac:dyDescent="0.25">
      <c r="A82" s="69">
        <v>79</v>
      </c>
      <c r="B82" s="10" t="s">
        <v>72</v>
      </c>
      <c r="C82" s="49"/>
      <c r="D82" s="10" t="s">
        <v>69</v>
      </c>
      <c r="E82" s="10" t="s">
        <v>71</v>
      </c>
      <c r="F82" s="10" t="s">
        <v>70</v>
      </c>
      <c r="G82" s="19">
        <v>0.46180555555555558</v>
      </c>
      <c r="H82" s="20">
        <v>540</v>
      </c>
      <c r="I82" s="50">
        <f t="shared" si="2"/>
        <v>48.721804511278194</v>
      </c>
      <c r="J82" s="49"/>
      <c r="K82">
        <f>11+5/60</f>
        <v>11.083333333333334</v>
      </c>
      <c r="L82" s="1"/>
    </row>
    <row r="83" spans="1:12" x14ac:dyDescent="0.25">
      <c r="A83" s="69">
        <v>80</v>
      </c>
      <c r="B83" s="17">
        <v>2103</v>
      </c>
      <c r="C83" s="49"/>
      <c r="D83" s="10" t="s">
        <v>43</v>
      </c>
      <c r="E83" s="10" t="s">
        <v>44</v>
      </c>
      <c r="F83" s="10" t="s">
        <v>45</v>
      </c>
      <c r="G83" s="19">
        <v>0.66666666666666663</v>
      </c>
      <c r="H83" s="20">
        <v>540</v>
      </c>
      <c r="I83" s="50">
        <f t="shared" si="2"/>
        <v>33.75</v>
      </c>
      <c r="J83" s="49"/>
      <c r="K83">
        <f>16+0/60</f>
        <v>16</v>
      </c>
      <c r="L83" t="s">
        <v>455</v>
      </c>
    </row>
    <row r="84" spans="1:12" ht="13.15" customHeight="1" x14ac:dyDescent="0.25">
      <c r="A84" s="69">
        <v>81</v>
      </c>
      <c r="B84" s="17">
        <v>4103</v>
      </c>
      <c r="C84" s="10" t="s">
        <v>92</v>
      </c>
      <c r="D84" s="10" t="s">
        <v>89</v>
      </c>
      <c r="E84" s="10" t="s">
        <v>90</v>
      </c>
      <c r="F84" s="10" t="s">
        <v>91</v>
      </c>
      <c r="G84" s="19">
        <v>0.27083333333333331</v>
      </c>
      <c r="H84" s="20">
        <v>530</v>
      </c>
      <c r="I84" s="79">
        <f t="shared" si="2"/>
        <v>81.538461538461533</v>
      </c>
      <c r="J84" s="49"/>
      <c r="K84">
        <f>6+30/60</f>
        <v>6.5</v>
      </c>
    </row>
    <row r="85" spans="1:12" ht="18.75" customHeight="1" x14ac:dyDescent="0.25">
      <c r="A85" s="69">
        <v>82</v>
      </c>
      <c r="B85" s="17">
        <v>2349</v>
      </c>
      <c r="C85" s="49"/>
      <c r="D85" s="10" t="s">
        <v>46</v>
      </c>
      <c r="E85" s="10" t="s">
        <v>50</v>
      </c>
      <c r="F85" s="10" t="s">
        <v>454</v>
      </c>
      <c r="G85" s="19">
        <v>0.61111111111111105</v>
      </c>
      <c r="H85" s="20">
        <v>530</v>
      </c>
      <c r="I85" s="50">
        <f t="shared" si="2"/>
        <v>36.13636363636364</v>
      </c>
      <c r="J85" s="49"/>
      <c r="K85">
        <f>14+40/60</f>
        <v>14.666666666666666</v>
      </c>
      <c r="L85" t="s">
        <v>452</v>
      </c>
    </row>
    <row r="86" spans="1:12" x14ac:dyDescent="0.25">
      <c r="A86" s="70">
        <v>83</v>
      </c>
      <c r="B86" s="10" t="s">
        <v>167</v>
      </c>
      <c r="C86" s="49" t="s">
        <v>183</v>
      </c>
      <c r="D86" s="10" t="s">
        <v>172</v>
      </c>
      <c r="E86" s="10" t="s">
        <v>173</v>
      </c>
      <c r="F86" s="10" t="s">
        <v>164</v>
      </c>
      <c r="G86" s="19">
        <v>0.86458333333333337</v>
      </c>
      <c r="H86" s="21">
        <v>530</v>
      </c>
      <c r="I86" s="50">
        <f t="shared" si="2"/>
        <v>25.542168674698797</v>
      </c>
      <c r="J86" s="10" t="s">
        <v>165</v>
      </c>
      <c r="K86">
        <f>20+45/60</f>
        <v>20.75</v>
      </c>
    </row>
    <row r="87" spans="1:12" ht="20.45" customHeight="1" x14ac:dyDescent="0.25">
      <c r="A87" s="69">
        <v>84</v>
      </c>
      <c r="B87" s="10" t="s">
        <v>138</v>
      </c>
      <c r="C87" s="49" t="s">
        <v>14</v>
      </c>
      <c r="D87" s="10" t="s">
        <v>135</v>
      </c>
      <c r="E87" s="10" t="s">
        <v>134</v>
      </c>
      <c r="F87" s="10" t="s">
        <v>453</v>
      </c>
      <c r="G87" s="19">
        <v>0.66666666666666663</v>
      </c>
      <c r="H87" s="21">
        <v>526</v>
      </c>
      <c r="I87" s="75">
        <f t="shared" si="2"/>
        <v>32.875</v>
      </c>
      <c r="J87" s="10" t="s">
        <v>133</v>
      </c>
      <c r="K87">
        <f>16</f>
        <v>16</v>
      </c>
      <c r="L87" t="s">
        <v>448</v>
      </c>
    </row>
    <row r="88" spans="1:12" x14ac:dyDescent="0.25">
      <c r="A88" s="70">
        <v>85</v>
      </c>
      <c r="B88" s="10" t="s">
        <v>167</v>
      </c>
      <c r="C88" s="49" t="s">
        <v>304</v>
      </c>
      <c r="D88" s="10" t="s">
        <v>171</v>
      </c>
      <c r="E88" s="10" t="s">
        <v>166</v>
      </c>
      <c r="F88" s="10" t="s">
        <v>164</v>
      </c>
      <c r="G88" s="19">
        <v>0.86805555555555547</v>
      </c>
      <c r="H88" s="21">
        <v>523</v>
      </c>
      <c r="I88" s="50">
        <f t="shared" si="2"/>
        <v>25.104000000000003</v>
      </c>
      <c r="J88" s="10" t="s">
        <v>165</v>
      </c>
      <c r="K88">
        <f>20+50/60</f>
        <v>20.833333333333332</v>
      </c>
    </row>
    <row r="89" spans="1:12" x14ac:dyDescent="0.25">
      <c r="A89" s="69">
        <v>86</v>
      </c>
      <c r="B89" s="10" t="s">
        <v>54</v>
      </c>
      <c r="C89" s="49"/>
      <c r="D89" s="10" t="s">
        <v>53</v>
      </c>
      <c r="E89" s="10" t="s">
        <v>51</v>
      </c>
      <c r="F89" s="10" t="s">
        <v>396</v>
      </c>
      <c r="G89" s="19">
        <v>0.50694444444444442</v>
      </c>
      <c r="H89" s="20">
        <v>520</v>
      </c>
      <c r="I89" s="50">
        <f t="shared" si="2"/>
        <v>42.739726027397261</v>
      </c>
      <c r="J89" s="10" t="s">
        <v>52</v>
      </c>
      <c r="K89">
        <f>12+10/60</f>
        <v>12.166666666666666</v>
      </c>
    </row>
    <row r="90" spans="1:12" x14ac:dyDescent="0.25">
      <c r="A90" s="69">
        <v>87</v>
      </c>
      <c r="B90" s="10" t="s">
        <v>152</v>
      </c>
      <c r="C90" s="49" t="s">
        <v>154</v>
      </c>
      <c r="D90" s="10" t="s">
        <v>150</v>
      </c>
      <c r="E90" s="10" t="s">
        <v>149</v>
      </c>
      <c r="F90" s="10" t="s">
        <v>151</v>
      </c>
      <c r="G90" s="19">
        <v>0.38055555555555554</v>
      </c>
      <c r="H90" s="21">
        <v>520</v>
      </c>
      <c r="I90" s="53">
        <f t="shared" si="2"/>
        <v>56.934306569343072</v>
      </c>
      <c r="J90" s="49"/>
      <c r="K90">
        <f>9+8/60</f>
        <v>9.1333333333333329</v>
      </c>
    </row>
    <row r="91" spans="1:12" ht="24" customHeight="1" x14ac:dyDescent="0.25">
      <c r="A91" s="69">
        <v>88</v>
      </c>
      <c r="B91" s="17">
        <v>3822</v>
      </c>
      <c r="C91" s="49" t="s">
        <v>77</v>
      </c>
      <c r="D91" s="10" t="s">
        <v>76</v>
      </c>
      <c r="E91" s="10" t="s">
        <v>78</v>
      </c>
      <c r="F91" s="10" t="s">
        <v>79</v>
      </c>
      <c r="G91" s="19">
        <v>0.61458333333333337</v>
      </c>
      <c r="H91" s="20">
        <v>520</v>
      </c>
      <c r="I91" s="50">
        <f t="shared" si="2"/>
        <v>35.254237288135592</v>
      </c>
      <c r="J91" s="49"/>
      <c r="K91">
        <f>14+45/60</f>
        <v>14.75</v>
      </c>
      <c r="L91" t="s">
        <v>450</v>
      </c>
    </row>
    <row r="92" spans="1:12" x14ac:dyDescent="0.25">
      <c r="A92" s="69">
        <v>89</v>
      </c>
      <c r="B92" s="10" t="s">
        <v>127</v>
      </c>
      <c r="C92" s="49" t="s">
        <v>112</v>
      </c>
      <c r="D92" s="10" t="s">
        <v>122</v>
      </c>
      <c r="E92" s="10" t="s">
        <v>126</v>
      </c>
      <c r="F92" s="10" t="s">
        <v>397</v>
      </c>
      <c r="G92" s="28">
        <v>0.41666666666666669</v>
      </c>
      <c r="H92" s="21">
        <v>515</v>
      </c>
      <c r="I92" s="53">
        <f t="shared" si="2"/>
        <v>51.5</v>
      </c>
      <c r="J92" s="49"/>
      <c r="K92">
        <f>10</f>
        <v>10</v>
      </c>
      <c r="L92" t="s">
        <v>451</v>
      </c>
    </row>
    <row r="93" spans="1:12" ht="18.75" customHeight="1" x14ac:dyDescent="0.25">
      <c r="A93" s="69">
        <v>90</v>
      </c>
      <c r="B93" s="17">
        <v>4334</v>
      </c>
      <c r="C93" s="49" t="s">
        <v>103</v>
      </c>
      <c r="D93" s="10" t="s">
        <v>160</v>
      </c>
      <c r="E93" s="10" t="s">
        <v>104</v>
      </c>
      <c r="F93" s="10" t="s">
        <v>102</v>
      </c>
      <c r="G93" s="19">
        <v>0.32916666666666666</v>
      </c>
      <c r="H93" s="20">
        <v>514</v>
      </c>
      <c r="I93" s="73">
        <f t="shared" si="2"/>
        <v>65.063291139240505</v>
      </c>
      <c r="J93" s="10" t="s">
        <v>105</v>
      </c>
      <c r="K93">
        <f>7+54/60</f>
        <v>7.9</v>
      </c>
      <c r="L93" t="s">
        <v>449</v>
      </c>
    </row>
    <row r="94" spans="1:12" x14ac:dyDescent="0.25">
      <c r="A94" s="70">
        <v>91</v>
      </c>
      <c r="B94" s="17">
        <v>43585</v>
      </c>
      <c r="C94" s="49" t="s">
        <v>170</v>
      </c>
      <c r="D94" s="10" t="s">
        <v>230</v>
      </c>
      <c r="E94" s="10" t="s">
        <v>220</v>
      </c>
      <c r="F94" s="10" t="s">
        <v>322</v>
      </c>
      <c r="G94" s="19">
        <v>0.625</v>
      </c>
      <c r="H94" s="20">
        <v>507</v>
      </c>
      <c r="I94" s="54">
        <f t="shared" si="2"/>
        <v>33.799999999999997</v>
      </c>
      <c r="J94" s="49" t="s">
        <v>319</v>
      </c>
      <c r="K94">
        <f>15</f>
        <v>15</v>
      </c>
    </row>
    <row r="95" spans="1:12" ht="18" customHeight="1" x14ac:dyDescent="0.25">
      <c r="A95" s="70">
        <v>92</v>
      </c>
      <c r="B95" s="26">
        <v>40411</v>
      </c>
      <c r="C95" s="27" t="s">
        <v>170</v>
      </c>
      <c r="D95" s="10" t="s">
        <v>256</v>
      </c>
      <c r="E95" s="10" t="s">
        <v>230</v>
      </c>
      <c r="F95" s="10" t="s">
        <v>332</v>
      </c>
      <c r="G95" s="28">
        <v>0.76041666666666663</v>
      </c>
      <c r="H95" s="20">
        <v>502</v>
      </c>
      <c r="I95" s="50">
        <f t="shared" si="2"/>
        <v>27.506849315068493</v>
      </c>
      <c r="J95" s="10" t="s">
        <v>257</v>
      </c>
      <c r="K95">
        <f>18+15/60</f>
        <v>18.25</v>
      </c>
    </row>
    <row r="96" spans="1:12" x14ac:dyDescent="0.25">
      <c r="A96" s="70">
        <v>93</v>
      </c>
      <c r="B96" s="10" t="s">
        <v>213</v>
      </c>
      <c r="C96" s="10" t="s">
        <v>214</v>
      </c>
      <c r="D96" s="10" t="s">
        <v>173</v>
      </c>
      <c r="E96" s="10" t="s">
        <v>215</v>
      </c>
      <c r="F96" s="41" t="s">
        <v>370</v>
      </c>
      <c r="G96" s="28">
        <v>0.82986111111111116</v>
      </c>
      <c r="H96" s="21">
        <v>501</v>
      </c>
      <c r="I96" s="55">
        <f>ROUND(H96/K96,1)</f>
        <v>25.2</v>
      </c>
      <c r="J96" s="10" t="s">
        <v>212</v>
      </c>
      <c r="K96">
        <f>19+55/60</f>
        <v>19.916666666666668</v>
      </c>
    </row>
    <row r="97" spans="1:11" x14ac:dyDescent="0.25">
      <c r="A97" s="69">
        <v>94</v>
      </c>
      <c r="B97" s="17">
        <v>2085</v>
      </c>
      <c r="C97" s="49"/>
      <c r="D97" s="10" t="s">
        <v>40</v>
      </c>
      <c r="E97" s="10" t="s">
        <v>41</v>
      </c>
      <c r="F97" s="10" t="s">
        <v>42</v>
      </c>
      <c r="G97" s="19">
        <v>0.75</v>
      </c>
      <c r="H97" s="20">
        <v>500</v>
      </c>
      <c r="I97" s="50">
        <f>H97/K97</f>
        <v>27.777777777777779</v>
      </c>
      <c r="J97" s="49"/>
      <c r="K97">
        <f>18+0/60</f>
        <v>18</v>
      </c>
    </row>
    <row r="98" spans="1:11" ht="14.45" customHeight="1" x14ac:dyDescent="0.25">
      <c r="A98" s="69">
        <v>95</v>
      </c>
      <c r="B98" s="17">
        <v>4482</v>
      </c>
      <c r="C98" s="49" t="s">
        <v>19</v>
      </c>
      <c r="D98" s="10" t="s">
        <v>113</v>
      </c>
      <c r="E98" s="10" t="s">
        <v>114</v>
      </c>
      <c r="F98" s="10" t="s">
        <v>254</v>
      </c>
      <c r="G98" s="19">
        <v>0.33958333333333335</v>
      </c>
      <c r="H98" s="20">
        <v>500</v>
      </c>
      <c r="I98" s="73">
        <f>H98/K98</f>
        <v>61.349693251533736</v>
      </c>
      <c r="J98" s="10" t="s">
        <v>115</v>
      </c>
      <c r="K98">
        <f>8+9/60</f>
        <v>8.15</v>
      </c>
    </row>
    <row r="99" spans="1:11" x14ac:dyDescent="0.25">
      <c r="A99" s="40"/>
      <c r="B99" s="78"/>
      <c r="C99" s="78"/>
      <c r="D99" s="78"/>
      <c r="E99" s="78"/>
      <c r="F99" s="78"/>
      <c r="G99" s="85" t="s">
        <v>331</v>
      </c>
      <c r="H99" s="86">
        <f>AVERAGE(H4:H98)</f>
        <v>778.67368421052629</v>
      </c>
      <c r="I99" s="86">
        <f>AVERAGE(I4:I98)</f>
        <v>44.598320450305756</v>
      </c>
      <c r="J99" s="84" t="s">
        <v>274</v>
      </c>
    </row>
    <row r="100" spans="1:11" x14ac:dyDescent="0.25">
      <c r="A100" s="40"/>
      <c r="B100" s="78" t="s">
        <v>295</v>
      </c>
      <c r="C100" s="78">
        <v>2</v>
      </c>
      <c r="D100" s="36" t="s">
        <v>298</v>
      </c>
      <c r="E100" s="78">
        <f>ROUND((C100/A103%),1)</f>
        <v>2.1</v>
      </c>
      <c r="F100" s="36" t="s">
        <v>308</v>
      </c>
      <c r="G100" s="78"/>
      <c r="H100" s="78"/>
      <c r="I100" s="87"/>
      <c r="J100" s="78"/>
    </row>
    <row r="101" spans="1:11" x14ac:dyDescent="0.25">
      <c r="A101" s="40"/>
      <c r="B101" s="78" t="s">
        <v>296</v>
      </c>
      <c r="C101" s="78">
        <v>9</v>
      </c>
      <c r="D101" s="36" t="s">
        <v>299</v>
      </c>
      <c r="E101" s="78">
        <f>ROUND((C101/A103%),1)</f>
        <v>9.5</v>
      </c>
      <c r="F101" s="36" t="s">
        <v>308</v>
      </c>
      <c r="G101" s="78"/>
      <c r="H101" s="78"/>
      <c r="I101" s="87"/>
      <c r="J101" s="78"/>
    </row>
    <row r="102" spans="1:11" x14ac:dyDescent="0.25">
      <c r="A102" s="40"/>
      <c r="B102" s="78" t="s">
        <v>297</v>
      </c>
      <c r="C102" s="78">
        <f>A103-C100-C101</f>
        <v>84</v>
      </c>
      <c r="D102" s="36" t="s">
        <v>300</v>
      </c>
      <c r="E102" s="78">
        <f>ROUND((C102/A103%),1)</f>
        <v>88.4</v>
      </c>
      <c r="F102" s="36" t="s">
        <v>308</v>
      </c>
      <c r="G102" s="78"/>
      <c r="H102" s="78"/>
      <c r="I102" s="87"/>
      <c r="J102" s="78"/>
    </row>
    <row r="103" spans="1:11" x14ac:dyDescent="0.25">
      <c r="A103" s="40">
        <f>A104+A105</f>
        <v>95</v>
      </c>
      <c r="B103" s="88">
        <f>A98/3500</f>
        <v>2.7142857142857142E-2</v>
      </c>
      <c r="C103" s="78" t="s">
        <v>275</v>
      </c>
      <c r="D103" s="78"/>
      <c r="E103" s="78"/>
      <c r="F103" s="78"/>
      <c r="G103" s="78"/>
      <c r="H103" s="78"/>
      <c r="I103" s="87"/>
      <c r="J103" s="78"/>
    </row>
    <row r="104" spans="1:11" x14ac:dyDescent="0.25">
      <c r="A104" s="72">
        <v>41</v>
      </c>
      <c r="B104" s="89" t="s">
        <v>305</v>
      </c>
      <c r="C104" s="78">
        <f>25</f>
        <v>25</v>
      </c>
      <c r="D104" s="36" t="s">
        <v>307</v>
      </c>
      <c r="E104" s="78">
        <f>ROUND((A104/A103%),0)</f>
        <v>43</v>
      </c>
      <c r="F104" s="78" t="s">
        <v>308</v>
      </c>
      <c r="G104" s="78"/>
      <c r="H104" s="78"/>
      <c r="I104" s="87"/>
      <c r="J104" s="78"/>
    </row>
    <row r="105" spans="1:11" x14ac:dyDescent="0.25">
      <c r="A105" s="40">
        <v>54</v>
      </c>
      <c r="B105" s="78" t="s">
        <v>306</v>
      </c>
      <c r="C105" s="78">
        <f>29</f>
        <v>29</v>
      </c>
      <c r="D105" s="36" t="s">
        <v>307</v>
      </c>
      <c r="E105" s="78">
        <f>ROUND((A105/A103%),0)</f>
        <v>57</v>
      </c>
      <c r="F105" s="78" t="s">
        <v>308</v>
      </c>
      <c r="G105" s="78"/>
      <c r="H105" s="78"/>
      <c r="I105" s="87"/>
      <c r="J105" s="78"/>
    </row>
  </sheetData>
  <sortState ref="B5:K75">
    <sortCondition descending="1" ref="H5:H75"/>
  </sortState>
  <pageMargins left="0.70866141732283472" right="0.70866141732283472" top="0.78740157480314965" bottom="0.78740157480314965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37" workbookViewId="0">
      <selection activeCell="H59" sqref="H59"/>
    </sheetView>
  </sheetViews>
  <sheetFormatPr baseColWidth="10" defaultRowHeight="15" x14ac:dyDescent="0.25"/>
  <cols>
    <col min="1" max="1" width="4.7109375" customWidth="1"/>
    <col min="2" max="2" width="15.7109375" bestFit="1" customWidth="1"/>
    <col min="3" max="3" width="12.85546875" bestFit="1" customWidth="1"/>
    <col min="4" max="4" width="17.7109375" customWidth="1"/>
    <col min="5" max="5" width="21.85546875" bestFit="1" customWidth="1"/>
    <col min="6" max="6" width="30.5703125" bestFit="1" customWidth="1"/>
    <col min="7" max="7" width="15.85546875" bestFit="1" customWidth="1"/>
    <col min="8" max="8" width="16.140625" bestFit="1" customWidth="1"/>
    <col min="10" max="10" width="29.42578125" customWidth="1"/>
    <col min="11" max="11" width="0.140625" customWidth="1"/>
  </cols>
  <sheetData>
    <row r="1" spans="1:11" x14ac:dyDescent="0.25">
      <c r="B1" s="99" t="s">
        <v>419</v>
      </c>
      <c r="C1" s="99"/>
      <c r="D1" s="99"/>
      <c r="J1" t="s">
        <v>422</v>
      </c>
    </row>
    <row r="2" spans="1:11" ht="15.75" thickBot="1" x14ac:dyDescent="0.3"/>
    <row r="3" spans="1:11" s="6" customFormat="1" ht="15.75" thickBot="1" x14ac:dyDescent="0.3">
      <c r="A3" s="65" t="s">
        <v>161</v>
      </c>
      <c r="B3" s="66" t="s">
        <v>31</v>
      </c>
      <c r="C3" s="66" t="s">
        <v>10</v>
      </c>
      <c r="D3" s="66" t="s">
        <v>1</v>
      </c>
      <c r="E3" s="66" t="s">
        <v>278</v>
      </c>
      <c r="F3" s="66" t="s">
        <v>2</v>
      </c>
      <c r="G3" s="66" t="s">
        <v>3</v>
      </c>
      <c r="H3" s="66" t="s">
        <v>162</v>
      </c>
      <c r="I3" s="67" t="s">
        <v>22</v>
      </c>
      <c r="J3" s="68" t="s">
        <v>253</v>
      </c>
    </row>
    <row r="4" spans="1:11" x14ac:dyDescent="0.25">
      <c r="A4" s="59">
        <v>1</v>
      </c>
      <c r="B4" s="60" t="s">
        <v>270</v>
      </c>
      <c r="C4" s="60" t="s">
        <v>282</v>
      </c>
      <c r="D4" s="61" t="s">
        <v>258</v>
      </c>
      <c r="E4" s="35" t="s">
        <v>259</v>
      </c>
      <c r="F4" s="35" t="s">
        <v>260</v>
      </c>
      <c r="G4" s="62">
        <v>0.97222222222222221</v>
      </c>
      <c r="H4" s="63">
        <v>1692</v>
      </c>
      <c r="I4" s="64">
        <f>H4/K4</f>
        <v>72.51428571428572</v>
      </c>
      <c r="J4" s="60"/>
      <c r="K4">
        <v>23.333333333333332</v>
      </c>
    </row>
    <row r="5" spans="1:11" x14ac:dyDescent="0.25">
      <c r="A5" s="8">
        <v>2</v>
      </c>
      <c r="B5" s="10" t="s">
        <v>284</v>
      </c>
      <c r="C5" s="10" t="s">
        <v>170</v>
      </c>
      <c r="D5" s="10" t="s">
        <v>230</v>
      </c>
      <c r="E5" s="10" t="s">
        <v>283</v>
      </c>
      <c r="F5" s="10" t="s">
        <v>439</v>
      </c>
      <c r="G5" s="39" t="s">
        <v>367</v>
      </c>
      <c r="H5" s="16">
        <v>1119</v>
      </c>
      <c r="I5" s="50">
        <f>H5/K5</f>
        <v>42.655654383735701</v>
      </c>
      <c r="J5" s="49" t="s">
        <v>285</v>
      </c>
      <c r="K5">
        <f>26+14/60</f>
        <v>26.233333333333334</v>
      </c>
    </row>
    <row r="6" spans="1:11" ht="13.9" customHeight="1" x14ac:dyDescent="0.25">
      <c r="A6" s="38">
        <v>3</v>
      </c>
      <c r="B6" s="10" t="s">
        <v>312</v>
      </c>
      <c r="C6" s="49" t="s">
        <v>170</v>
      </c>
      <c r="D6" s="10" t="s">
        <v>230</v>
      </c>
      <c r="E6" s="10" t="s">
        <v>393</v>
      </c>
      <c r="F6" s="10" t="s">
        <v>333</v>
      </c>
      <c r="G6" s="19">
        <v>0.72430555555555554</v>
      </c>
      <c r="H6" s="20">
        <v>898</v>
      </c>
      <c r="I6" s="51">
        <v>51.658676893576221</v>
      </c>
      <c r="J6" s="10" t="s">
        <v>313</v>
      </c>
      <c r="K6">
        <v>17.383333333333333</v>
      </c>
    </row>
    <row r="7" spans="1:11" ht="13.15" customHeight="1" x14ac:dyDescent="0.25">
      <c r="A7" s="8">
        <v>4</v>
      </c>
      <c r="B7" s="10" t="s">
        <v>176</v>
      </c>
      <c r="C7" s="49" t="s">
        <v>170</v>
      </c>
      <c r="D7" s="10" t="s">
        <v>174</v>
      </c>
      <c r="E7" s="10" t="s">
        <v>394</v>
      </c>
      <c r="F7" s="10" t="s">
        <v>168</v>
      </c>
      <c r="G7" s="19">
        <v>0.65763888888888888</v>
      </c>
      <c r="H7" s="21">
        <v>860</v>
      </c>
      <c r="I7" s="51">
        <v>54.487856388595567</v>
      </c>
      <c r="J7" s="10" t="s">
        <v>169</v>
      </c>
      <c r="K7">
        <v>15.783333333333333</v>
      </c>
    </row>
    <row r="8" spans="1:11" ht="13.9" customHeight="1" x14ac:dyDescent="0.25">
      <c r="A8" s="8">
        <v>5</v>
      </c>
      <c r="B8" s="10" t="s">
        <v>176</v>
      </c>
      <c r="C8" s="10" t="s">
        <v>178</v>
      </c>
      <c r="D8" s="10" t="s">
        <v>179</v>
      </c>
      <c r="E8" s="10" t="s">
        <v>180</v>
      </c>
      <c r="F8" s="10" t="s">
        <v>177</v>
      </c>
      <c r="G8" s="19">
        <v>0.64583333333333337</v>
      </c>
      <c r="H8" s="21">
        <v>839</v>
      </c>
      <c r="I8" s="51">
        <v>54.12903225806452</v>
      </c>
      <c r="J8" s="10" t="s">
        <v>169</v>
      </c>
      <c r="K8">
        <v>15.5</v>
      </c>
    </row>
    <row r="9" spans="1:11" ht="14.45" customHeight="1" x14ac:dyDescent="0.25">
      <c r="A9" s="38">
        <v>6</v>
      </c>
      <c r="B9" s="10" t="s">
        <v>176</v>
      </c>
      <c r="C9" s="49" t="s">
        <v>183</v>
      </c>
      <c r="D9" s="10" t="s">
        <v>172</v>
      </c>
      <c r="E9" s="10" t="s">
        <v>181</v>
      </c>
      <c r="F9" s="10" t="s">
        <v>182</v>
      </c>
      <c r="G9" s="19">
        <v>0.76041666666666663</v>
      </c>
      <c r="H9" s="21">
        <v>836</v>
      </c>
      <c r="I9" s="50">
        <v>45.80821917808219</v>
      </c>
      <c r="J9" s="10" t="s">
        <v>169</v>
      </c>
      <c r="K9">
        <v>18.25</v>
      </c>
    </row>
    <row r="10" spans="1:11" ht="14.45" customHeight="1" x14ac:dyDescent="0.25">
      <c r="A10" s="8">
        <v>7</v>
      </c>
      <c r="B10" s="10" t="s">
        <v>176</v>
      </c>
      <c r="C10" s="10" t="s">
        <v>217</v>
      </c>
      <c r="D10" s="10" t="s">
        <v>184</v>
      </c>
      <c r="E10" s="10" t="s">
        <v>185</v>
      </c>
      <c r="F10" s="10" t="s">
        <v>186</v>
      </c>
      <c r="G10" s="19">
        <v>0.66319444444444442</v>
      </c>
      <c r="H10" s="21">
        <v>798</v>
      </c>
      <c r="I10" s="51">
        <v>50.136125654450261</v>
      </c>
      <c r="J10" s="10" t="s">
        <v>169</v>
      </c>
      <c r="K10" s="1">
        <v>15.916666666666666</v>
      </c>
    </row>
    <row r="11" spans="1:11" ht="15.6" customHeight="1" x14ac:dyDescent="0.25">
      <c r="A11" s="8">
        <v>8</v>
      </c>
      <c r="B11" s="10" t="s">
        <v>176</v>
      </c>
      <c r="C11" s="10" t="s">
        <v>188</v>
      </c>
      <c r="D11" s="10" t="s">
        <v>189</v>
      </c>
      <c r="E11" s="10" t="s">
        <v>187</v>
      </c>
      <c r="F11" s="10" t="s">
        <v>186</v>
      </c>
      <c r="G11" s="19">
        <v>0.62777777777777777</v>
      </c>
      <c r="H11" s="21">
        <v>784</v>
      </c>
      <c r="I11" s="51">
        <v>52.035398230088497</v>
      </c>
      <c r="J11" s="10" t="s">
        <v>169</v>
      </c>
      <c r="K11">
        <v>15.066666666666666</v>
      </c>
    </row>
    <row r="12" spans="1:11" ht="14.45" customHeight="1" x14ac:dyDescent="0.25">
      <c r="A12" s="38">
        <v>9</v>
      </c>
      <c r="B12" s="10" t="s">
        <v>225</v>
      </c>
      <c r="C12" s="10" t="s">
        <v>170</v>
      </c>
      <c r="D12" s="10" t="s">
        <v>174</v>
      </c>
      <c r="E12" s="10" t="s">
        <v>393</v>
      </c>
      <c r="F12" s="23" t="s">
        <v>286</v>
      </c>
      <c r="G12" s="30">
        <v>0.71527777777777779</v>
      </c>
      <c r="H12" s="21">
        <v>781</v>
      </c>
      <c r="I12" s="50">
        <v>45.495145631067956</v>
      </c>
      <c r="J12" s="10" t="s">
        <v>226</v>
      </c>
      <c r="K12">
        <v>17.166666666666668</v>
      </c>
    </row>
    <row r="13" spans="1:11" ht="14.45" customHeight="1" x14ac:dyDescent="0.25">
      <c r="A13" s="8">
        <v>10</v>
      </c>
      <c r="B13" s="17">
        <v>38241</v>
      </c>
      <c r="C13" s="42" t="s">
        <v>336</v>
      </c>
      <c r="D13" s="42" t="s">
        <v>263</v>
      </c>
      <c r="E13" s="42" t="s">
        <v>258</v>
      </c>
      <c r="F13" s="41" t="s">
        <v>348</v>
      </c>
      <c r="G13" s="43">
        <v>0.70138888888888884</v>
      </c>
      <c r="H13" s="21">
        <v>780</v>
      </c>
      <c r="I13" s="50">
        <f>H13/K13</f>
        <v>46.336633663366342</v>
      </c>
      <c r="J13" s="10" t="s">
        <v>334</v>
      </c>
      <c r="K13">
        <f>16+50/60</f>
        <v>16.833333333333332</v>
      </c>
    </row>
    <row r="14" spans="1:11" ht="14.45" customHeight="1" x14ac:dyDescent="0.25">
      <c r="A14" s="8">
        <v>11</v>
      </c>
      <c r="B14" s="17">
        <v>38241</v>
      </c>
      <c r="C14" s="42" t="s">
        <v>337</v>
      </c>
      <c r="D14" s="42" t="s">
        <v>335</v>
      </c>
      <c r="E14" s="42" t="s">
        <v>404</v>
      </c>
      <c r="F14" s="41" t="s">
        <v>347</v>
      </c>
      <c r="G14" s="43">
        <v>0.70833333333333337</v>
      </c>
      <c r="H14" s="21">
        <v>775</v>
      </c>
      <c r="I14" s="50">
        <f>H14/K14</f>
        <v>45.588235294117645</v>
      </c>
      <c r="J14" s="10" t="s">
        <v>334</v>
      </c>
      <c r="K14">
        <v>17</v>
      </c>
    </row>
    <row r="15" spans="1:11" ht="14.45" customHeight="1" x14ac:dyDescent="0.25">
      <c r="A15" s="38">
        <v>12</v>
      </c>
      <c r="B15" s="17" t="s">
        <v>310</v>
      </c>
      <c r="C15" s="49" t="s">
        <v>170</v>
      </c>
      <c r="D15" s="10" t="s">
        <v>230</v>
      </c>
      <c r="E15" s="10" t="s">
        <v>420</v>
      </c>
      <c r="F15" s="10" t="s">
        <v>327</v>
      </c>
      <c r="G15" s="19">
        <v>0.70833333333333337</v>
      </c>
      <c r="H15" s="21">
        <v>761</v>
      </c>
      <c r="I15" s="52">
        <v>44.764705882352942</v>
      </c>
      <c r="J15" s="10"/>
      <c r="K15">
        <v>17</v>
      </c>
    </row>
    <row r="16" spans="1:11" ht="14.45" customHeight="1" x14ac:dyDescent="0.25">
      <c r="A16" s="8">
        <v>13</v>
      </c>
      <c r="B16" s="17">
        <v>38241</v>
      </c>
      <c r="C16" s="42" t="s">
        <v>344</v>
      </c>
      <c r="D16" s="42" t="s">
        <v>343</v>
      </c>
      <c r="E16" s="42" t="s">
        <v>342</v>
      </c>
      <c r="F16" s="41" t="s">
        <v>349</v>
      </c>
      <c r="G16" s="43">
        <v>0.625</v>
      </c>
      <c r="H16" s="48">
        <v>754</v>
      </c>
      <c r="I16" s="53">
        <f t="shared" ref="I16:I17" si="0">H16/K16</f>
        <v>50.266666666666666</v>
      </c>
      <c r="J16" s="10" t="s">
        <v>334</v>
      </c>
      <c r="K16">
        <v>15</v>
      </c>
    </row>
    <row r="17" spans="1:16" ht="14.45" customHeight="1" x14ac:dyDescent="0.25">
      <c r="A17" s="8">
        <v>14</v>
      </c>
      <c r="B17" s="17">
        <v>38241</v>
      </c>
      <c r="C17" s="42" t="s">
        <v>345</v>
      </c>
      <c r="D17" s="42" t="s">
        <v>338</v>
      </c>
      <c r="E17" s="42" t="s">
        <v>341</v>
      </c>
      <c r="F17" s="41" t="s">
        <v>350</v>
      </c>
      <c r="G17" s="43">
        <v>0.70625000000000004</v>
      </c>
      <c r="H17" s="48">
        <v>747</v>
      </c>
      <c r="I17" s="52">
        <f t="shared" si="0"/>
        <v>44.070796460176993</v>
      </c>
      <c r="J17" s="10" t="s">
        <v>334</v>
      </c>
      <c r="K17">
        <f>16+57/60</f>
        <v>16.95</v>
      </c>
    </row>
    <row r="18" spans="1:16" ht="14.45" customHeight="1" x14ac:dyDescent="0.25">
      <c r="A18" s="38">
        <v>15</v>
      </c>
      <c r="B18" s="17">
        <v>38241</v>
      </c>
      <c r="C18" s="42" t="s">
        <v>346</v>
      </c>
      <c r="D18" s="42" t="s">
        <v>339</v>
      </c>
      <c r="E18" s="42" t="s">
        <v>340</v>
      </c>
      <c r="F18" s="41" t="s">
        <v>350</v>
      </c>
      <c r="G18" s="43">
        <v>0.7</v>
      </c>
      <c r="H18" s="48">
        <v>745</v>
      </c>
      <c r="I18" s="52">
        <f>H18/K18</f>
        <v>44.345238095238095</v>
      </c>
      <c r="J18" s="10" t="s">
        <v>334</v>
      </c>
      <c r="K18">
        <f>16+48/60</f>
        <v>16.8</v>
      </c>
    </row>
    <row r="19" spans="1:16" ht="16.149999999999999" customHeight="1" x14ac:dyDescent="0.25">
      <c r="A19" s="8">
        <v>16</v>
      </c>
      <c r="B19" s="10" t="s">
        <v>176</v>
      </c>
      <c r="C19" s="10" t="s">
        <v>190</v>
      </c>
      <c r="D19" s="10" t="s">
        <v>375</v>
      </c>
      <c r="E19" s="10" t="s">
        <v>376</v>
      </c>
      <c r="F19" s="10" t="s">
        <v>201</v>
      </c>
      <c r="G19" s="19">
        <v>0.79722222222222217</v>
      </c>
      <c r="H19" s="21">
        <v>742</v>
      </c>
      <c r="I19" s="50">
        <v>38.780487804878049</v>
      </c>
      <c r="J19" s="10" t="s">
        <v>169</v>
      </c>
      <c r="K19">
        <v>19.133333333333333</v>
      </c>
    </row>
    <row r="20" spans="1:16" ht="13.15" customHeight="1" x14ac:dyDescent="0.25">
      <c r="A20" s="8">
        <v>17</v>
      </c>
      <c r="B20" s="57" t="s">
        <v>311</v>
      </c>
      <c r="C20" s="31" t="s">
        <v>170</v>
      </c>
      <c r="D20" s="31" t="s">
        <v>230</v>
      </c>
      <c r="E20" s="31" t="s">
        <v>393</v>
      </c>
      <c r="F20" s="23" t="s">
        <v>287</v>
      </c>
      <c r="G20" s="33">
        <v>0.73958333333333337</v>
      </c>
      <c r="H20" s="32">
        <v>737</v>
      </c>
      <c r="I20" s="50">
        <v>41.521126760563384</v>
      </c>
      <c r="J20" s="10" t="s">
        <v>391</v>
      </c>
      <c r="K20">
        <v>17.75</v>
      </c>
    </row>
    <row r="21" spans="1:16" ht="14.45" customHeight="1" x14ac:dyDescent="0.25">
      <c r="A21" s="38">
        <v>18</v>
      </c>
      <c r="B21" s="10" t="s">
        <v>227</v>
      </c>
      <c r="C21" s="10" t="s">
        <v>170</v>
      </c>
      <c r="D21" s="10" t="s">
        <v>174</v>
      </c>
      <c r="E21" s="10" t="s">
        <v>393</v>
      </c>
      <c r="F21" s="10" t="s">
        <v>228</v>
      </c>
      <c r="G21" s="14">
        <v>0.79999999999999993</v>
      </c>
      <c r="H21" s="21">
        <v>733</v>
      </c>
      <c r="I21" s="50">
        <v>38.177083333333336</v>
      </c>
      <c r="J21" s="49"/>
      <c r="K21">
        <v>19.2</v>
      </c>
    </row>
    <row r="22" spans="1:16" x14ac:dyDescent="0.25">
      <c r="A22" s="8">
        <v>19</v>
      </c>
      <c r="B22" s="17">
        <v>39025</v>
      </c>
      <c r="C22" s="10" t="s">
        <v>243</v>
      </c>
      <c r="D22" s="10" t="s">
        <v>463</v>
      </c>
      <c r="E22" s="10" t="s">
        <v>258</v>
      </c>
      <c r="F22" s="10" t="s">
        <v>465</v>
      </c>
      <c r="G22" s="28">
        <v>0.47500000000000003</v>
      </c>
      <c r="H22" s="21">
        <v>730</v>
      </c>
      <c r="I22" s="50">
        <f t="shared" ref="I22" si="1">H22/K22</f>
        <v>64.035087719298247</v>
      </c>
      <c r="J22" s="49" t="s">
        <v>464</v>
      </c>
      <c r="K22">
        <f>11+24/60</f>
        <v>11.4</v>
      </c>
    </row>
    <row r="23" spans="1:16" ht="15" customHeight="1" x14ac:dyDescent="0.25">
      <c r="A23" s="8">
        <v>20</v>
      </c>
      <c r="B23" s="10" t="s">
        <v>176</v>
      </c>
      <c r="C23" s="10" t="s">
        <v>193</v>
      </c>
      <c r="D23" s="10" t="s">
        <v>194</v>
      </c>
      <c r="E23" s="10" t="s">
        <v>195</v>
      </c>
      <c r="F23" s="10" t="s">
        <v>199</v>
      </c>
      <c r="G23" s="19">
        <v>0.56041666666666667</v>
      </c>
      <c r="H23" s="21">
        <v>730</v>
      </c>
      <c r="I23" s="51">
        <v>54.275092936802977</v>
      </c>
      <c r="J23" s="10" t="s">
        <v>169</v>
      </c>
      <c r="K23">
        <v>13.45</v>
      </c>
    </row>
    <row r="24" spans="1:16" ht="13.9" customHeight="1" x14ac:dyDescent="0.25">
      <c r="A24" s="38">
        <v>21</v>
      </c>
      <c r="B24" s="58" t="s">
        <v>250</v>
      </c>
      <c r="C24" s="10" t="s">
        <v>170</v>
      </c>
      <c r="D24" s="10" t="s">
        <v>174</v>
      </c>
      <c r="E24" s="10" t="s">
        <v>393</v>
      </c>
      <c r="F24" s="10" t="s">
        <v>223</v>
      </c>
      <c r="G24" s="14">
        <v>0.66180555555555554</v>
      </c>
      <c r="H24" s="21">
        <v>724</v>
      </c>
      <c r="I24" s="50">
        <v>45.58237145855194</v>
      </c>
      <c r="J24" s="10" t="s">
        <v>224</v>
      </c>
      <c r="K24">
        <v>15.883333333333333</v>
      </c>
    </row>
    <row r="25" spans="1:16" x14ac:dyDescent="0.25">
      <c r="A25" s="8">
        <v>22</v>
      </c>
      <c r="B25" s="10" t="s">
        <v>176</v>
      </c>
      <c r="C25" s="10" t="s">
        <v>196</v>
      </c>
      <c r="D25" s="10" t="s">
        <v>197</v>
      </c>
      <c r="E25" s="10" t="s">
        <v>198</v>
      </c>
      <c r="F25" s="10" t="s">
        <v>200</v>
      </c>
      <c r="G25" s="19">
        <v>0.67361111111111116</v>
      </c>
      <c r="H25" s="21">
        <v>719</v>
      </c>
      <c r="I25" s="50">
        <v>44.47422680412371</v>
      </c>
      <c r="J25" s="10" t="s">
        <v>169</v>
      </c>
      <c r="K25">
        <v>16.166666666666668</v>
      </c>
      <c r="M25" s="1"/>
    </row>
    <row r="26" spans="1:16" x14ac:dyDescent="0.25">
      <c r="A26" s="8">
        <v>23</v>
      </c>
      <c r="B26" s="10" t="s">
        <v>210</v>
      </c>
      <c r="C26" s="10" t="s">
        <v>170</v>
      </c>
      <c r="D26" s="10" t="s">
        <v>174</v>
      </c>
      <c r="E26" s="10" t="s">
        <v>395</v>
      </c>
      <c r="F26" s="10" t="s">
        <v>222</v>
      </c>
      <c r="G26" s="14">
        <v>0.73611111111111116</v>
      </c>
      <c r="H26" s="21">
        <v>712</v>
      </c>
      <c r="I26" s="50">
        <v>40.301886792452827</v>
      </c>
      <c r="J26" s="49"/>
      <c r="K26">
        <v>17.666666666666668</v>
      </c>
    </row>
    <row r="27" spans="1:16" x14ac:dyDescent="0.25">
      <c r="A27" s="38">
        <v>24</v>
      </c>
      <c r="B27" s="17">
        <v>38241</v>
      </c>
      <c r="C27" s="10" t="s">
        <v>351</v>
      </c>
      <c r="D27" s="10" t="s">
        <v>352</v>
      </c>
      <c r="E27" s="10" t="s">
        <v>355</v>
      </c>
      <c r="F27" s="10" t="s">
        <v>353</v>
      </c>
      <c r="G27" s="96">
        <v>0.66666666666666663</v>
      </c>
      <c r="H27" s="21">
        <v>709</v>
      </c>
      <c r="I27" s="97">
        <f>H27/K27</f>
        <v>44.3125</v>
      </c>
      <c r="J27" s="10" t="s">
        <v>354</v>
      </c>
      <c r="K27">
        <v>16</v>
      </c>
    </row>
    <row r="28" spans="1:16" x14ac:dyDescent="0.25">
      <c r="A28" s="8">
        <v>25</v>
      </c>
      <c r="B28" s="10" t="s">
        <v>213</v>
      </c>
      <c r="C28" s="10" t="s">
        <v>170</v>
      </c>
      <c r="D28" s="10" t="s">
        <v>174</v>
      </c>
      <c r="E28" s="10" t="s">
        <v>393</v>
      </c>
      <c r="F28" s="10" t="s">
        <v>288</v>
      </c>
      <c r="G28" s="14">
        <v>0.67013888888888884</v>
      </c>
      <c r="H28" s="21">
        <v>708</v>
      </c>
      <c r="I28" s="50">
        <v>44.020725388601036</v>
      </c>
      <c r="J28" s="10" t="s">
        <v>212</v>
      </c>
      <c r="K28">
        <v>16.083333333333332</v>
      </c>
    </row>
    <row r="29" spans="1:16" ht="12.6" customHeight="1" x14ac:dyDescent="0.25">
      <c r="A29" s="8">
        <v>26</v>
      </c>
      <c r="B29" s="10" t="s">
        <v>225</v>
      </c>
      <c r="C29" s="22" t="s">
        <v>232</v>
      </c>
      <c r="D29" s="10" t="s">
        <v>233</v>
      </c>
      <c r="E29" s="22" t="s">
        <v>234</v>
      </c>
      <c r="F29" s="23" t="s">
        <v>239</v>
      </c>
      <c r="G29" s="28">
        <v>0.7284722222222223</v>
      </c>
      <c r="H29" s="21">
        <v>705</v>
      </c>
      <c r="I29" s="50">
        <v>40.324118207816966</v>
      </c>
      <c r="J29" s="10" t="s">
        <v>226</v>
      </c>
      <c r="K29">
        <v>17.483333333333334</v>
      </c>
    </row>
    <row r="30" spans="1:16" x14ac:dyDescent="0.25">
      <c r="A30" s="38">
        <v>27</v>
      </c>
      <c r="B30" s="10" t="s">
        <v>176</v>
      </c>
      <c r="C30" s="10" t="s">
        <v>202</v>
      </c>
      <c r="D30" s="10" t="s">
        <v>377</v>
      </c>
      <c r="E30" s="10" t="s">
        <v>378</v>
      </c>
      <c r="F30" s="10" t="s">
        <v>208</v>
      </c>
      <c r="G30" s="19">
        <v>0.58333333333333337</v>
      </c>
      <c r="H30" s="21">
        <v>701</v>
      </c>
      <c r="I30" s="51">
        <v>50.071428571428569</v>
      </c>
      <c r="J30" s="10" t="s">
        <v>169</v>
      </c>
      <c r="K30">
        <v>14</v>
      </c>
      <c r="P30" s="1"/>
    </row>
    <row r="31" spans="1:16" ht="15.75" customHeight="1" x14ac:dyDescent="0.25">
      <c r="A31" s="8">
        <v>28</v>
      </c>
      <c r="B31" s="10" t="s">
        <v>290</v>
      </c>
      <c r="C31" s="10" t="s">
        <v>170</v>
      </c>
      <c r="D31" s="10" t="s">
        <v>230</v>
      </c>
      <c r="E31" s="10" t="s">
        <v>393</v>
      </c>
      <c r="F31" s="23" t="s">
        <v>289</v>
      </c>
      <c r="G31" s="34">
        <v>0.68402777777777779</v>
      </c>
      <c r="H31" s="21">
        <v>697</v>
      </c>
      <c r="I31" s="54">
        <f>H31/K31</f>
        <v>42.45685279187817</v>
      </c>
      <c r="J31" s="10" t="s">
        <v>291</v>
      </c>
      <c r="K31">
        <f>16+25/60</f>
        <v>16.416666666666668</v>
      </c>
      <c r="P31" s="1"/>
    </row>
    <row r="32" spans="1:16" ht="15.75" customHeight="1" x14ac:dyDescent="0.25">
      <c r="A32" s="8">
        <v>29</v>
      </c>
      <c r="B32" s="17">
        <v>38241</v>
      </c>
      <c r="C32" s="42" t="s">
        <v>214</v>
      </c>
      <c r="D32" s="42" t="s">
        <v>173</v>
      </c>
      <c r="E32" s="42" t="s">
        <v>356</v>
      </c>
      <c r="F32" s="41" t="s">
        <v>360</v>
      </c>
      <c r="G32" s="43">
        <v>0.74861111111111101</v>
      </c>
      <c r="H32" s="21">
        <v>696</v>
      </c>
      <c r="I32" s="54">
        <f>H32/K32</f>
        <v>38.738404452690169</v>
      </c>
      <c r="J32" s="10" t="s">
        <v>334</v>
      </c>
      <c r="K32">
        <f>17+58/60</f>
        <v>17.966666666666665</v>
      </c>
      <c r="P32" s="1"/>
    </row>
    <row r="33" spans="1:16" ht="15.75" customHeight="1" x14ac:dyDescent="0.25">
      <c r="A33" s="38">
        <v>30</v>
      </c>
      <c r="B33" s="17">
        <v>38241</v>
      </c>
      <c r="C33" s="42" t="s">
        <v>359</v>
      </c>
      <c r="D33" s="42" t="s">
        <v>357</v>
      </c>
      <c r="E33" s="42" t="s">
        <v>358</v>
      </c>
      <c r="F33" s="41" t="s">
        <v>360</v>
      </c>
      <c r="G33" s="43">
        <v>0.78541666666666676</v>
      </c>
      <c r="H33" s="21">
        <v>694</v>
      </c>
      <c r="I33" s="54">
        <f>H33/K33</f>
        <v>36.816976127320949</v>
      </c>
      <c r="J33" s="10" t="s">
        <v>334</v>
      </c>
      <c r="K33">
        <f>18+51/60</f>
        <v>18.850000000000001</v>
      </c>
      <c r="P33" s="1"/>
    </row>
    <row r="34" spans="1:16" ht="15" customHeight="1" x14ac:dyDescent="0.25">
      <c r="A34" s="8">
        <v>31</v>
      </c>
      <c r="B34" s="10" t="s">
        <v>176</v>
      </c>
      <c r="C34" s="10" t="s">
        <v>205</v>
      </c>
      <c r="D34" s="10" t="s">
        <v>206</v>
      </c>
      <c r="E34" s="10" t="s">
        <v>207</v>
      </c>
      <c r="F34" s="35" t="s">
        <v>209</v>
      </c>
      <c r="G34" s="19">
        <v>0.55902777777777779</v>
      </c>
      <c r="H34" s="21">
        <v>694</v>
      </c>
      <c r="I34" s="51">
        <v>51.726708074534166</v>
      </c>
      <c r="J34" s="10" t="s">
        <v>169</v>
      </c>
      <c r="K34">
        <v>13.416666666666666</v>
      </c>
    </row>
    <row r="35" spans="1:16" ht="15" customHeight="1" x14ac:dyDescent="0.25">
      <c r="A35" s="8">
        <v>32</v>
      </c>
      <c r="B35" s="17">
        <v>38241</v>
      </c>
      <c r="C35" s="42" t="s">
        <v>368</v>
      </c>
      <c r="D35" s="10" t="s">
        <v>233</v>
      </c>
      <c r="E35" s="10" t="s">
        <v>234</v>
      </c>
      <c r="F35" s="41" t="s">
        <v>369</v>
      </c>
      <c r="G35" s="19">
        <v>0.69444444444444453</v>
      </c>
      <c r="H35" s="21">
        <v>679</v>
      </c>
      <c r="I35" s="50">
        <f>H35/K35</f>
        <v>40.739999999999995</v>
      </c>
      <c r="J35" s="10" t="s">
        <v>334</v>
      </c>
      <c r="K35">
        <f>16+40/60</f>
        <v>16.666666666666668</v>
      </c>
    </row>
    <row r="36" spans="1:16" ht="17.25" customHeight="1" x14ac:dyDescent="0.25">
      <c r="A36" s="38">
        <v>33</v>
      </c>
      <c r="B36" s="10" t="s">
        <v>218</v>
      </c>
      <c r="C36" s="10" t="s">
        <v>261</v>
      </c>
      <c r="D36" s="10" t="s">
        <v>262</v>
      </c>
      <c r="E36" s="10" t="s">
        <v>263</v>
      </c>
      <c r="F36" s="10" t="s">
        <v>326</v>
      </c>
      <c r="G36" s="19">
        <v>0.83263888888888893</v>
      </c>
      <c r="H36" s="21">
        <v>668</v>
      </c>
      <c r="I36" s="50">
        <f>H36/K36</f>
        <v>33.427856547122602</v>
      </c>
      <c r="J36" s="10" t="s">
        <v>328</v>
      </c>
      <c r="K36">
        <v>19.983333333333334</v>
      </c>
    </row>
    <row r="37" spans="1:16" ht="13.9" customHeight="1" x14ac:dyDescent="0.25">
      <c r="A37" s="8">
        <v>34</v>
      </c>
      <c r="B37" s="10" t="s">
        <v>225</v>
      </c>
      <c r="C37" s="22" t="s">
        <v>235</v>
      </c>
      <c r="D37" s="22" t="s">
        <v>236</v>
      </c>
      <c r="E37" s="24" t="s">
        <v>421</v>
      </c>
      <c r="F37" s="23" t="s">
        <v>238</v>
      </c>
      <c r="G37" s="46" t="s">
        <v>363</v>
      </c>
      <c r="H37" s="21">
        <v>652</v>
      </c>
      <c r="I37" s="50">
        <v>38.165853658536591</v>
      </c>
      <c r="J37" s="10" t="s">
        <v>226</v>
      </c>
      <c r="K37">
        <v>17.083333333333332</v>
      </c>
    </row>
    <row r="38" spans="1:16" x14ac:dyDescent="0.25">
      <c r="A38" s="8">
        <v>35</v>
      </c>
      <c r="B38" s="10" t="s">
        <v>225</v>
      </c>
      <c r="C38" s="22" t="s">
        <v>240</v>
      </c>
      <c r="D38" s="22" t="s">
        <v>242</v>
      </c>
      <c r="E38" s="25" t="s">
        <v>241</v>
      </c>
      <c r="F38" s="23" t="s">
        <v>302</v>
      </c>
      <c r="G38" s="45" t="s">
        <v>362</v>
      </c>
      <c r="H38" s="21">
        <v>644</v>
      </c>
      <c r="I38" s="50">
        <v>38.447761194029852</v>
      </c>
      <c r="J38" s="10" t="s">
        <v>226</v>
      </c>
      <c r="K38">
        <v>16.75</v>
      </c>
    </row>
    <row r="39" spans="1:16" ht="14.45" customHeight="1" x14ac:dyDescent="0.25">
      <c r="A39" s="38">
        <v>36</v>
      </c>
      <c r="B39" s="10" t="s">
        <v>330</v>
      </c>
      <c r="C39" s="22" t="s">
        <v>318</v>
      </c>
      <c r="D39" s="22" t="s">
        <v>230</v>
      </c>
      <c r="E39" s="25" t="s">
        <v>317</v>
      </c>
      <c r="F39" s="23" t="s">
        <v>324</v>
      </c>
      <c r="G39" s="44" t="s">
        <v>361</v>
      </c>
      <c r="H39" s="21">
        <v>638</v>
      </c>
      <c r="I39" s="50">
        <v>35.444444444444443</v>
      </c>
      <c r="J39" s="10" t="s">
        <v>325</v>
      </c>
      <c r="K39">
        <v>18</v>
      </c>
    </row>
    <row r="40" spans="1:16" x14ac:dyDescent="0.25">
      <c r="A40" s="8">
        <v>37</v>
      </c>
      <c r="B40" s="10" t="s">
        <v>293</v>
      </c>
      <c r="C40" s="22" t="s">
        <v>170</v>
      </c>
      <c r="D40" s="22" t="s">
        <v>230</v>
      </c>
      <c r="E40" s="25" t="s">
        <v>393</v>
      </c>
      <c r="F40" s="23" t="s">
        <v>292</v>
      </c>
      <c r="G40" s="28">
        <v>0.875</v>
      </c>
      <c r="H40" s="21">
        <v>636</v>
      </c>
      <c r="I40" s="50">
        <f>H40/K40</f>
        <v>30.285714285714285</v>
      </c>
      <c r="J40" s="10" t="s">
        <v>294</v>
      </c>
      <c r="K40">
        <v>21</v>
      </c>
    </row>
    <row r="41" spans="1:16" x14ac:dyDescent="0.25">
      <c r="A41" s="8">
        <v>38</v>
      </c>
      <c r="B41" s="10" t="s">
        <v>229</v>
      </c>
      <c r="C41" s="10" t="s">
        <v>170</v>
      </c>
      <c r="D41" s="10" t="s">
        <v>230</v>
      </c>
      <c r="E41" s="10" t="s">
        <v>393</v>
      </c>
      <c r="F41" s="10" t="s">
        <v>269</v>
      </c>
      <c r="G41" s="14">
        <v>0.61111111111111105</v>
      </c>
      <c r="H41" s="21">
        <v>612</v>
      </c>
      <c r="I41" s="50">
        <v>41.727272727272727</v>
      </c>
      <c r="J41" s="49" t="s">
        <v>329</v>
      </c>
      <c r="K41">
        <v>14.666666666666666</v>
      </c>
    </row>
    <row r="42" spans="1:16" x14ac:dyDescent="0.25">
      <c r="A42" s="38">
        <v>39</v>
      </c>
      <c r="B42" s="10" t="s">
        <v>218</v>
      </c>
      <c r="C42" s="10" t="s">
        <v>170</v>
      </c>
      <c r="D42" s="10" t="s">
        <v>174</v>
      </c>
      <c r="E42" s="10" t="s">
        <v>393</v>
      </c>
      <c r="F42" s="10" t="s">
        <v>268</v>
      </c>
      <c r="G42" s="19">
        <v>0.80555555555555547</v>
      </c>
      <c r="H42" s="21">
        <v>610</v>
      </c>
      <c r="I42" s="50">
        <v>31.551724137931036</v>
      </c>
      <c r="J42" s="10" t="s">
        <v>328</v>
      </c>
      <c r="K42">
        <v>19.333333333333332</v>
      </c>
    </row>
    <row r="43" spans="1:16" x14ac:dyDescent="0.25">
      <c r="A43" s="8">
        <v>40</v>
      </c>
      <c r="B43" s="17">
        <v>38241</v>
      </c>
      <c r="C43" s="42" t="s">
        <v>373</v>
      </c>
      <c r="D43" s="42" t="s">
        <v>371</v>
      </c>
      <c r="E43" s="42" t="s">
        <v>372</v>
      </c>
      <c r="F43" s="41" t="s">
        <v>374</v>
      </c>
      <c r="G43" s="19">
        <v>0.58402777777777781</v>
      </c>
      <c r="H43" s="21">
        <v>596</v>
      </c>
      <c r="I43" s="50">
        <f>H43/K43</f>
        <v>42.52080856123662</v>
      </c>
      <c r="J43" s="10" t="s">
        <v>334</v>
      </c>
      <c r="K43">
        <f>14+1/60</f>
        <v>14.016666666666667</v>
      </c>
    </row>
    <row r="44" spans="1:16" x14ac:dyDescent="0.25">
      <c r="A44" s="8">
        <v>41</v>
      </c>
      <c r="B44" s="10" t="s">
        <v>218</v>
      </c>
      <c r="C44" s="10" t="s">
        <v>235</v>
      </c>
      <c r="D44" s="10" t="s">
        <v>172</v>
      </c>
      <c r="E44" s="10" t="s">
        <v>265</v>
      </c>
      <c r="F44" s="10" t="s">
        <v>266</v>
      </c>
      <c r="G44" s="19">
        <v>0.74236111111111114</v>
      </c>
      <c r="H44" s="21">
        <v>595</v>
      </c>
      <c r="I44" s="50">
        <v>33.395696913002809</v>
      </c>
      <c r="J44" s="10" t="s">
        <v>328</v>
      </c>
      <c r="K44">
        <v>17.816666666666666</v>
      </c>
    </row>
    <row r="45" spans="1:16" x14ac:dyDescent="0.25">
      <c r="A45" s="38">
        <v>42</v>
      </c>
      <c r="B45" s="10" t="s">
        <v>218</v>
      </c>
      <c r="C45" s="10" t="s">
        <v>267</v>
      </c>
      <c r="D45" s="10" t="s">
        <v>173</v>
      </c>
      <c r="E45" s="10" t="s">
        <v>215</v>
      </c>
      <c r="F45" s="10" t="s">
        <v>272</v>
      </c>
      <c r="G45" s="19">
        <v>0.87361111111111101</v>
      </c>
      <c r="H45" s="21">
        <v>591</v>
      </c>
      <c r="I45" s="50">
        <v>28.187599364069953</v>
      </c>
      <c r="J45" s="10" t="s">
        <v>221</v>
      </c>
      <c r="K45">
        <v>20.966666666666665</v>
      </c>
    </row>
    <row r="46" spans="1:16" x14ac:dyDescent="0.25">
      <c r="A46" s="8">
        <v>43</v>
      </c>
      <c r="B46" s="10" t="s">
        <v>225</v>
      </c>
      <c r="C46" s="22" t="s">
        <v>243</v>
      </c>
      <c r="D46" s="22" t="s">
        <v>245</v>
      </c>
      <c r="E46" s="25" t="s">
        <v>249</v>
      </c>
      <c r="F46" s="23" t="s">
        <v>244</v>
      </c>
      <c r="G46" s="47" t="s">
        <v>366</v>
      </c>
      <c r="H46" s="21">
        <v>588</v>
      </c>
      <c r="I46" s="50">
        <v>34.758620689655167</v>
      </c>
      <c r="J46" s="10" t="s">
        <v>226</v>
      </c>
      <c r="K46">
        <v>16.916666666666668</v>
      </c>
    </row>
    <row r="47" spans="1:16" x14ac:dyDescent="0.25">
      <c r="A47" s="8">
        <v>44</v>
      </c>
      <c r="B47" s="10" t="s">
        <v>225</v>
      </c>
      <c r="C47" s="22" t="s">
        <v>178</v>
      </c>
      <c r="D47" s="22" t="s">
        <v>247</v>
      </c>
      <c r="E47" s="25" t="s">
        <v>246</v>
      </c>
      <c r="F47" s="23" t="s">
        <v>248</v>
      </c>
      <c r="G47" s="47" t="s">
        <v>365</v>
      </c>
      <c r="H47" s="21">
        <v>563</v>
      </c>
      <c r="I47" s="50">
        <v>32.263610315186249</v>
      </c>
      <c r="J47" s="10" t="s">
        <v>226</v>
      </c>
      <c r="K47">
        <v>17.45</v>
      </c>
    </row>
    <row r="48" spans="1:16" x14ac:dyDescent="0.25">
      <c r="A48" s="38">
        <v>45</v>
      </c>
      <c r="B48" s="10" t="s">
        <v>225</v>
      </c>
      <c r="C48" s="22" t="s">
        <v>214</v>
      </c>
      <c r="D48" s="22" t="s">
        <v>251</v>
      </c>
      <c r="E48" s="25" t="s">
        <v>252</v>
      </c>
      <c r="F48" s="23" t="s">
        <v>273</v>
      </c>
      <c r="G48" s="47" t="s">
        <v>364</v>
      </c>
      <c r="H48" s="21">
        <v>560</v>
      </c>
      <c r="I48" s="50">
        <v>32</v>
      </c>
      <c r="J48" s="10" t="s">
        <v>226</v>
      </c>
      <c r="K48">
        <v>17.5</v>
      </c>
    </row>
    <row r="49" spans="1:11" x14ac:dyDescent="0.25">
      <c r="A49" s="8">
        <v>46</v>
      </c>
      <c r="B49" s="17">
        <v>38241</v>
      </c>
      <c r="C49" s="42" t="s">
        <v>383</v>
      </c>
      <c r="D49" s="42" t="s">
        <v>380</v>
      </c>
      <c r="E49" s="42" t="s">
        <v>381</v>
      </c>
      <c r="F49" s="41" t="s">
        <v>385</v>
      </c>
      <c r="G49" s="43">
        <v>0.64166666666666672</v>
      </c>
      <c r="H49" s="21">
        <v>560</v>
      </c>
      <c r="I49" s="50">
        <f>H49/K49</f>
        <v>36.36363636363636</v>
      </c>
      <c r="J49" s="10" t="s">
        <v>334</v>
      </c>
      <c r="K49">
        <f>15+24/60</f>
        <v>15.4</v>
      </c>
    </row>
    <row r="50" spans="1:11" x14ac:dyDescent="0.25">
      <c r="A50" s="8">
        <v>47</v>
      </c>
      <c r="B50" s="17">
        <v>38241</v>
      </c>
      <c r="C50" s="42" t="s">
        <v>384</v>
      </c>
      <c r="D50" s="42" t="s">
        <v>379</v>
      </c>
      <c r="E50" s="42" t="s">
        <v>382</v>
      </c>
      <c r="F50" s="41" t="s">
        <v>386</v>
      </c>
      <c r="G50" s="43">
        <v>0.66874999999999996</v>
      </c>
      <c r="H50" s="21">
        <v>558</v>
      </c>
      <c r="I50" s="50">
        <f>H50/K50</f>
        <v>34.766355140186917</v>
      </c>
      <c r="J50" s="10" t="s">
        <v>334</v>
      </c>
      <c r="K50">
        <f>16+3/60</f>
        <v>16.05</v>
      </c>
    </row>
    <row r="51" spans="1:11" ht="15" customHeight="1" x14ac:dyDescent="0.25">
      <c r="A51" s="38">
        <v>48</v>
      </c>
      <c r="B51" s="10" t="s">
        <v>315</v>
      </c>
      <c r="C51" s="49" t="s">
        <v>318</v>
      </c>
      <c r="D51" s="10" t="s">
        <v>316</v>
      </c>
      <c r="E51" s="10" t="s">
        <v>317</v>
      </c>
      <c r="F51" s="10" t="s">
        <v>320</v>
      </c>
      <c r="G51" s="39" t="s">
        <v>321</v>
      </c>
      <c r="H51" s="20">
        <v>553</v>
      </c>
      <c r="I51" s="50">
        <v>18.745762711864408</v>
      </c>
      <c r="J51" s="49" t="s">
        <v>319</v>
      </c>
      <c r="K51">
        <v>29.5</v>
      </c>
    </row>
    <row r="52" spans="1:11" ht="15" customHeight="1" x14ac:dyDescent="0.25">
      <c r="A52" s="8">
        <v>49</v>
      </c>
      <c r="B52" s="17">
        <v>38241</v>
      </c>
      <c r="C52" s="42" t="s">
        <v>387</v>
      </c>
      <c r="D52" s="42" t="s">
        <v>389</v>
      </c>
      <c r="E52" s="42" t="s">
        <v>390</v>
      </c>
      <c r="F52" s="41" t="s">
        <v>374</v>
      </c>
      <c r="G52" s="39" t="s">
        <v>388</v>
      </c>
      <c r="H52" s="20">
        <v>545</v>
      </c>
      <c r="I52" s="50">
        <f>H52/K52</f>
        <v>40.773067331670823</v>
      </c>
      <c r="J52" s="10" t="s">
        <v>334</v>
      </c>
      <c r="K52">
        <f>13+22/60</f>
        <v>13.366666666666667</v>
      </c>
    </row>
    <row r="53" spans="1:11" x14ac:dyDescent="0.25">
      <c r="A53" s="8">
        <v>50</v>
      </c>
      <c r="B53" s="10" t="s">
        <v>167</v>
      </c>
      <c r="C53" s="49" t="s">
        <v>183</v>
      </c>
      <c r="D53" s="10" t="s">
        <v>172</v>
      </c>
      <c r="E53" s="10" t="s">
        <v>173</v>
      </c>
      <c r="F53" s="10" t="s">
        <v>164</v>
      </c>
      <c r="G53" s="19">
        <v>0.86458333333333337</v>
      </c>
      <c r="H53" s="21">
        <v>530</v>
      </c>
      <c r="I53" s="50">
        <v>25.542168674698797</v>
      </c>
      <c r="J53" s="10" t="s">
        <v>165</v>
      </c>
      <c r="K53">
        <v>20.75</v>
      </c>
    </row>
    <row r="54" spans="1:11" x14ac:dyDescent="0.25">
      <c r="A54" s="38">
        <v>51</v>
      </c>
      <c r="B54" s="10" t="s">
        <v>167</v>
      </c>
      <c r="C54" s="49" t="s">
        <v>304</v>
      </c>
      <c r="D54" s="10" t="s">
        <v>171</v>
      </c>
      <c r="E54" s="10" t="s">
        <v>432</v>
      </c>
      <c r="F54" s="10" t="s">
        <v>164</v>
      </c>
      <c r="G54" s="19">
        <v>0.86805555555555547</v>
      </c>
      <c r="H54" s="21">
        <v>523</v>
      </c>
      <c r="I54" s="50">
        <v>25.104000000000003</v>
      </c>
      <c r="J54" s="10" t="s">
        <v>165</v>
      </c>
      <c r="K54">
        <v>20.833333333333332</v>
      </c>
    </row>
    <row r="55" spans="1:11" x14ac:dyDescent="0.25">
      <c r="A55" s="8">
        <v>52</v>
      </c>
      <c r="B55" s="17">
        <v>43585</v>
      </c>
      <c r="C55" s="49" t="s">
        <v>170</v>
      </c>
      <c r="D55" s="10" t="s">
        <v>230</v>
      </c>
      <c r="E55" s="10" t="s">
        <v>393</v>
      </c>
      <c r="F55" s="10" t="s">
        <v>392</v>
      </c>
      <c r="G55" s="19">
        <v>0.625</v>
      </c>
      <c r="H55" s="20">
        <v>507</v>
      </c>
      <c r="I55" s="54">
        <v>33.799999999999997</v>
      </c>
      <c r="J55" s="49" t="s">
        <v>319</v>
      </c>
      <c r="K55">
        <v>15</v>
      </c>
    </row>
    <row r="56" spans="1:11" ht="15" customHeight="1" x14ac:dyDescent="0.25">
      <c r="A56" s="8">
        <v>53</v>
      </c>
      <c r="B56" s="26">
        <v>40411</v>
      </c>
      <c r="C56" s="27" t="s">
        <v>170</v>
      </c>
      <c r="D56" s="10" t="s">
        <v>256</v>
      </c>
      <c r="E56" s="10" t="s">
        <v>230</v>
      </c>
      <c r="F56" s="10" t="s">
        <v>332</v>
      </c>
      <c r="G56" s="14">
        <v>0.76041666666666663</v>
      </c>
      <c r="H56" s="20">
        <v>502</v>
      </c>
      <c r="I56" s="50">
        <v>27.506849315068493</v>
      </c>
      <c r="J56" s="10" t="s">
        <v>257</v>
      </c>
      <c r="K56">
        <v>18.25</v>
      </c>
    </row>
    <row r="57" spans="1:11" ht="14.45" customHeight="1" x14ac:dyDescent="0.25">
      <c r="A57" s="38">
        <v>54</v>
      </c>
      <c r="B57" s="10" t="s">
        <v>213</v>
      </c>
      <c r="C57" s="10" t="s">
        <v>214</v>
      </c>
      <c r="D57" s="10" t="s">
        <v>173</v>
      </c>
      <c r="E57" s="10" t="s">
        <v>215</v>
      </c>
      <c r="F57" s="41" t="s">
        <v>370</v>
      </c>
      <c r="G57" s="14">
        <v>0.82986111111111116</v>
      </c>
      <c r="H57" s="21">
        <v>501</v>
      </c>
      <c r="I57" s="55">
        <f>ROUND(H57/K57,1)</f>
        <v>25.2</v>
      </c>
      <c r="J57" s="10" t="s">
        <v>212</v>
      </c>
      <c r="K57">
        <f>19+55/60</f>
        <v>19.916666666666668</v>
      </c>
    </row>
    <row r="58" spans="1:11" x14ac:dyDescent="0.25">
      <c r="F58" s="92" t="s">
        <v>331</v>
      </c>
      <c r="G58" s="93" t="s">
        <v>365</v>
      </c>
      <c r="H58" s="94">
        <f>ROUND(AVERAGE(H4:H57),0)</f>
        <v>704</v>
      </c>
      <c r="I58" s="98">
        <f>ROUND(H59/K58,1)</f>
        <v>40.299999999999997</v>
      </c>
      <c r="K58">
        <f>SUM(K4:K57)</f>
        <v>942.3</v>
      </c>
    </row>
    <row r="59" spans="1:11" x14ac:dyDescent="0.25">
      <c r="D59" s="100" t="s">
        <v>426</v>
      </c>
      <c r="E59" s="100"/>
      <c r="F59" s="90" t="s">
        <v>418</v>
      </c>
      <c r="G59" s="91" t="s">
        <v>466</v>
      </c>
      <c r="H59" s="2">
        <f>SUM(H4:H57)</f>
        <v>38011</v>
      </c>
      <c r="K59">
        <f>ROUND(K58/A57,1)</f>
        <v>17.5</v>
      </c>
    </row>
    <row r="60" spans="1:11" x14ac:dyDescent="0.25">
      <c r="D60" s="36" t="s">
        <v>423</v>
      </c>
      <c r="E60" s="94">
        <f>COUNTIF(D4:E57,"*Göhrmann*")</f>
        <v>13</v>
      </c>
      <c r="F60" s="95" t="s">
        <v>409</v>
      </c>
      <c r="G60" s="94">
        <f>COUNTIF(F4:F57,"*(Polen)*")</f>
        <v>30</v>
      </c>
      <c r="J60" s="56"/>
    </row>
    <row r="61" spans="1:11" x14ac:dyDescent="0.25">
      <c r="D61" s="36" t="s">
        <v>424</v>
      </c>
      <c r="E61" s="94">
        <f>COUNTIF(D4:E58,"*Zwanzig*")</f>
        <v>10</v>
      </c>
      <c r="F61" s="95" t="s">
        <v>410</v>
      </c>
      <c r="G61" s="94">
        <f>COUNTIF(F4:F58,"*(Ungarn)*")</f>
        <v>10</v>
      </c>
    </row>
    <row r="62" spans="1:11" x14ac:dyDescent="0.25">
      <c r="D62" s="36" t="s">
        <v>425</v>
      </c>
      <c r="E62" s="94">
        <f>COUNTIF(D4:E57,"*Schmöhl*")</f>
        <v>7</v>
      </c>
      <c r="F62" s="95" t="s">
        <v>412</v>
      </c>
      <c r="G62" s="94">
        <f>COUNTIF(F4:F60,"*(Dänemark)*")</f>
        <v>5</v>
      </c>
    </row>
    <row r="63" spans="1:11" x14ac:dyDescent="0.25">
      <c r="F63" s="95" t="s">
        <v>411</v>
      </c>
      <c r="G63" s="94">
        <f>COUNTIF(F4:F58,"*(Italien)*")</f>
        <v>3</v>
      </c>
    </row>
    <row r="64" spans="1:11" x14ac:dyDescent="0.25">
      <c r="D64" s="100" t="s">
        <v>428</v>
      </c>
      <c r="E64" s="100"/>
      <c r="F64" s="95" t="s">
        <v>417</v>
      </c>
      <c r="G64" s="94">
        <f>COUNTIF(F4:F61,"*(Lettland)*")</f>
        <v>2</v>
      </c>
    </row>
    <row r="65" spans="4:7" x14ac:dyDescent="0.25">
      <c r="D65" s="36" t="s">
        <v>427</v>
      </c>
      <c r="E65" s="94">
        <f>COUNTIF(D4:E57,"*Eimers*")</f>
        <v>5</v>
      </c>
      <c r="F65" s="95" t="s">
        <v>413</v>
      </c>
      <c r="G65" s="94">
        <f>COUNTIF(F4:F61,"*(Frankreich)*")</f>
        <v>1</v>
      </c>
    </row>
    <row r="66" spans="4:7" x14ac:dyDescent="0.25">
      <c r="D66" s="36" t="s">
        <v>429</v>
      </c>
      <c r="E66" s="94">
        <f>COUNTIF(D5:E58,"*Brachtendorf*")</f>
        <v>4</v>
      </c>
      <c r="F66" s="95" t="s">
        <v>414</v>
      </c>
      <c r="G66" s="94">
        <f>COUNTIF(F4:F66,"*(Spanien)*")</f>
        <v>1</v>
      </c>
    </row>
    <row r="67" spans="4:7" x14ac:dyDescent="0.25">
      <c r="D67" s="36" t="s">
        <v>431</v>
      </c>
      <c r="E67" s="94">
        <f>COUNTIF(D4:E57,"*Haggeney*")</f>
        <v>3</v>
      </c>
      <c r="F67" s="95" t="s">
        <v>415</v>
      </c>
      <c r="G67" s="94">
        <f>COUNTIF(F4:F62,"*(Schweiz)*")</f>
        <v>1</v>
      </c>
    </row>
    <row r="68" spans="4:7" x14ac:dyDescent="0.25">
      <c r="D68" s="36" t="s">
        <v>430</v>
      </c>
      <c r="E68" s="94">
        <f>COUNTIF(D4:E57,"*Gerhardt*")</f>
        <v>2</v>
      </c>
      <c r="F68" s="95" t="s">
        <v>416</v>
      </c>
      <c r="G68" s="94">
        <f>COUNTIF(F4:F68,"*(Deutschland)*")</f>
        <v>1</v>
      </c>
    </row>
  </sheetData>
  <mergeCells count="3">
    <mergeCell ref="B1:D1"/>
    <mergeCell ref="D59:E59"/>
    <mergeCell ref="D64:E64"/>
  </mergeCell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1905-2019</vt:lpstr>
      <vt:lpstr>1990-2019</vt:lpstr>
      <vt:lpstr>Tabelle3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 Göhrmann</cp:lastModifiedBy>
  <cp:lastPrinted>2020-01-29T14:26:15Z</cp:lastPrinted>
  <dcterms:created xsi:type="dcterms:W3CDTF">2015-01-04T10:56:14Z</dcterms:created>
  <dcterms:modified xsi:type="dcterms:W3CDTF">2020-02-04T14:24:36Z</dcterms:modified>
</cp:coreProperties>
</file>